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shanemorgan/Desktop/"/>
    </mc:Choice>
  </mc:AlternateContent>
  <xr:revisionPtr revIDLastSave="0" documentId="13_ncr:1_{19C4B950-B405-574E-84AE-C6E70B0C26D0}" xr6:coauthVersionLast="36" xr6:coauthVersionMax="36" xr10:uidLastSave="{00000000-0000-0000-0000-000000000000}"/>
  <bookViews>
    <workbookView xWindow="0" yWindow="500" windowWidth="28800" windowHeight="16300" xr2:uid="{00000000-000D-0000-FFFF-FFFF00000000}"/>
  </bookViews>
  <sheets>
    <sheet name="Budget Overview" sheetId="6" r:id="rId1"/>
    <sheet name="Admin" sheetId="3" r:id="rId2"/>
    <sheet name="Education Budget" sheetId="2" r:id="rId3"/>
    <sheet name="Open Space Budget" sheetId="5" r:id="rId4"/>
    <sheet name="Streamwatch Budget" sheetId="1" r:id="rId5"/>
    <sheet name="Watershed Improvement Projects" sheetId="4" r:id="rId6"/>
  </sheets>
  <definedNames>
    <definedName name="_xlnm.Print_Titles" localSheetId="4">'Streamwatch Budget'!$2:$2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6" l="1"/>
  <c r="B10" i="6"/>
  <c r="D19" i="4"/>
  <c r="C27" i="1"/>
  <c r="C26" i="1" l="1"/>
  <c r="G14" i="4" l="1"/>
  <c r="C34" i="3"/>
  <c r="C27" i="3"/>
  <c r="G27" i="3"/>
  <c r="F27" i="3"/>
  <c r="C20" i="4" l="1"/>
  <c r="C18" i="6" l="1"/>
  <c r="B18" i="6"/>
  <c r="G18" i="6" s="1"/>
  <c r="B17" i="6"/>
  <c r="G17" i="6" s="1"/>
  <c r="G5" i="2"/>
  <c r="C5" i="2" s="1"/>
  <c r="C13" i="4"/>
  <c r="F22" i="4"/>
  <c r="H22" i="4" s="1"/>
  <c r="F23" i="4"/>
  <c r="H23" i="4" s="1"/>
  <c r="F17" i="4"/>
  <c r="H17" i="4" s="1"/>
  <c r="F12" i="4"/>
  <c r="H12" i="4" s="1"/>
  <c r="C10" i="4"/>
  <c r="C11" i="4"/>
  <c r="C12" i="4"/>
  <c r="C16" i="4"/>
  <c r="C22" i="4"/>
  <c r="H7" i="2" l="1"/>
  <c r="C6" i="2"/>
  <c r="C7" i="2"/>
  <c r="F7" i="2"/>
  <c r="F5" i="3"/>
  <c r="G5" i="3" s="1"/>
  <c r="E19" i="6" s="1"/>
  <c r="E21" i="6" s="1"/>
  <c r="C23" i="4"/>
  <c r="F14" i="4"/>
  <c r="H14" i="4" s="1"/>
  <c r="C18" i="4"/>
  <c r="C15" i="4"/>
  <c r="C17" i="4"/>
  <c r="C43" i="2"/>
  <c r="C49" i="2"/>
  <c r="F5" i="2" l="1"/>
  <c r="E9" i="1" l="1"/>
  <c r="F37" i="2" l="1"/>
  <c r="G37" i="2" s="1"/>
  <c r="C37" i="2" s="1"/>
  <c r="F16" i="4"/>
  <c r="H16" i="4" s="1"/>
  <c r="F13" i="4" l="1"/>
  <c r="H13" i="4" s="1"/>
  <c r="F10" i="5" l="1"/>
  <c r="G10" i="5" s="1"/>
  <c r="C10" i="5" s="1"/>
  <c r="G11" i="5"/>
  <c r="C11" i="5" s="1"/>
  <c r="G9" i="5"/>
  <c r="F6" i="5"/>
  <c r="F21" i="4"/>
  <c r="F20" i="4"/>
  <c r="H20" i="4" s="1"/>
  <c r="F19" i="4"/>
  <c r="F18" i="4"/>
  <c r="H18" i="4" s="1"/>
  <c r="F15" i="4"/>
  <c r="H15" i="4" s="1"/>
  <c r="F10" i="4"/>
  <c r="H10" i="4" s="1"/>
  <c r="F11" i="4"/>
  <c r="H11" i="4" s="1"/>
  <c r="F6" i="4"/>
  <c r="H6" i="4" s="1"/>
  <c r="F4" i="3"/>
  <c r="F26" i="3"/>
  <c r="G26" i="3" s="1"/>
  <c r="F21" i="3"/>
  <c r="G21" i="3" s="1"/>
  <c r="C21" i="3" s="1"/>
  <c r="G15" i="3"/>
  <c r="D15" i="3"/>
  <c r="G16" i="3"/>
  <c r="C16" i="3" s="1"/>
  <c r="D16" i="3"/>
  <c r="F8" i="3"/>
  <c r="G8" i="3" s="1"/>
  <c r="C8" i="3" s="1"/>
  <c r="F12" i="3"/>
  <c r="G12" i="3" s="1"/>
  <c r="C12" i="3" s="1"/>
  <c r="F11" i="3"/>
  <c r="G11" i="3" s="1"/>
  <c r="F7" i="3"/>
  <c r="G7" i="3" s="1"/>
  <c r="C7" i="3" s="1"/>
  <c r="F21" i="1"/>
  <c r="G21" i="1" s="1"/>
  <c r="C21" i="1" s="1"/>
  <c r="F18" i="1"/>
  <c r="G18" i="1" s="1"/>
  <c r="C18" i="1" s="1"/>
  <c r="F19" i="1"/>
  <c r="G19" i="1" s="1"/>
  <c r="C19" i="1" s="1"/>
  <c r="F16" i="1"/>
  <c r="G16" i="1" s="1"/>
  <c r="C16" i="1" s="1"/>
  <c r="F17" i="1"/>
  <c r="G17" i="1" s="1"/>
  <c r="C17" i="1" s="1"/>
  <c r="E15" i="1"/>
  <c r="F15" i="1" s="1"/>
  <c r="G15" i="1" s="1"/>
  <c r="C15" i="1" s="1"/>
  <c r="F10" i="1"/>
  <c r="G10" i="1" s="1"/>
  <c r="C10" i="1" s="1"/>
  <c r="F9" i="1"/>
  <c r="H9" i="1" s="1"/>
  <c r="F6" i="1"/>
  <c r="F5" i="1"/>
  <c r="H14" i="2"/>
  <c r="H16" i="2"/>
  <c r="E16" i="2"/>
  <c r="D16" i="2"/>
  <c r="G9" i="2"/>
  <c r="G11" i="2" s="1"/>
  <c r="F6" i="2"/>
  <c r="F28" i="2"/>
  <c r="G28" i="2" s="1"/>
  <c r="C28" i="2" s="1"/>
  <c r="F29" i="2"/>
  <c r="G29" i="2" s="1"/>
  <c r="C29" i="2" s="1"/>
  <c r="F30" i="2"/>
  <c r="G30" i="2" s="1"/>
  <c r="C30" i="2" s="1"/>
  <c r="F27" i="2"/>
  <c r="G27" i="2" s="1"/>
  <c r="F50" i="2"/>
  <c r="G50" i="2" s="1"/>
  <c r="C50" i="2" s="1"/>
  <c r="F48" i="2"/>
  <c r="C48" i="2" s="1"/>
  <c r="F49" i="2"/>
  <c r="H31" i="2"/>
  <c r="C24" i="2"/>
  <c r="C25" i="2"/>
  <c r="C31" i="2"/>
  <c r="C33" i="2"/>
  <c r="C34" i="2"/>
  <c r="C35" i="2"/>
  <c r="C36" i="2"/>
  <c r="H44" i="2"/>
  <c r="F43" i="2"/>
  <c r="F42" i="2"/>
  <c r="G42" i="2" s="1"/>
  <c r="C42" i="2" s="1"/>
  <c r="H25" i="2"/>
  <c r="G22" i="2"/>
  <c r="C22" i="2" s="1"/>
  <c r="G23" i="2"/>
  <c r="C23" i="2" s="1"/>
  <c r="F24" i="2"/>
  <c r="H24" i="2" s="1"/>
  <c r="F21" i="2"/>
  <c r="G21" i="2" s="1"/>
  <c r="F15" i="2"/>
  <c r="C15" i="2" s="1"/>
  <c r="F14" i="2"/>
  <c r="H19" i="4" l="1"/>
  <c r="G19" i="4"/>
  <c r="C19" i="4" s="1"/>
  <c r="C26" i="3"/>
  <c r="G21" i="4"/>
  <c r="H21" i="4"/>
  <c r="C21" i="4"/>
  <c r="G14" i="2"/>
  <c r="C14" i="2" s="1"/>
  <c r="F11" i="2"/>
  <c r="H6" i="2"/>
  <c r="H11" i="2" s="1"/>
  <c r="G4" i="3"/>
  <c r="C4" i="3" s="1"/>
  <c r="C30" i="3" s="1"/>
  <c r="E9" i="6" s="1"/>
  <c r="J20" i="6" s="1"/>
  <c r="C21" i="2"/>
  <c r="G39" i="2"/>
  <c r="C39" i="2" s="1"/>
  <c r="C9" i="1"/>
  <c r="C11" i="1" s="1"/>
  <c r="F12" i="1"/>
  <c r="G51" i="2"/>
  <c r="F16" i="2"/>
  <c r="G16" i="2"/>
  <c r="G6" i="5"/>
  <c r="C6" i="5" s="1"/>
  <c r="D17" i="5" s="1"/>
  <c r="C23" i="3"/>
  <c r="C6" i="4"/>
  <c r="C7" i="4" s="1"/>
  <c r="G23" i="3"/>
  <c r="C20" i="1"/>
  <c r="H7" i="3"/>
  <c r="C11" i="3"/>
  <c r="C13" i="3" s="1"/>
  <c r="C33" i="3" s="1"/>
  <c r="C15" i="3"/>
  <c r="C6" i="1"/>
  <c r="C51" i="2"/>
  <c r="F39" i="2"/>
  <c r="G44" i="2"/>
  <c r="C44" i="2" s="1"/>
  <c r="F44" i="2"/>
  <c r="H39" i="2"/>
  <c r="C27" i="2"/>
  <c r="C24" i="4" l="1"/>
  <c r="D30" i="4" s="1"/>
  <c r="G24" i="4"/>
  <c r="D9" i="6"/>
  <c r="D19" i="6"/>
  <c r="F9" i="6"/>
  <c r="F11" i="6" s="1"/>
  <c r="F19" i="6"/>
  <c r="F21" i="6" s="1"/>
  <c r="C52" i="2"/>
  <c r="E11" i="6"/>
  <c r="C17" i="3"/>
  <c r="C29" i="4"/>
  <c r="G12" i="1"/>
  <c r="C12" i="5"/>
  <c r="C17" i="5" s="1"/>
  <c r="C45" i="2"/>
  <c r="C28" i="4" l="1"/>
  <c r="D10" i="6"/>
  <c r="D11" i="6" s="1"/>
  <c r="D20" i="6"/>
  <c r="D21" i="6" s="1"/>
  <c r="C31" i="3"/>
  <c r="C20" i="5"/>
  <c r="B7" i="6"/>
  <c r="G7" i="6" s="1"/>
  <c r="C30" i="4"/>
  <c r="C33" i="4" s="1"/>
  <c r="B9" i="6" l="1"/>
  <c r="B19" i="6"/>
  <c r="G10" i="6"/>
  <c r="G20" i="6"/>
  <c r="C16" i="2"/>
  <c r="C10" i="2"/>
  <c r="C8" i="2"/>
  <c r="C22" i="1"/>
  <c r="C23" i="1" s="1"/>
  <c r="C55" i="2" l="1"/>
  <c r="C8" i="6" s="1"/>
  <c r="C54" i="2"/>
  <c r="C56" i="2" s="1"/>
  <c r="G8" i="6" s="1"/>
  <c r="C17" i="2"/>
  <c r="C11" i="2"/>
  <c r="C6" i="6" l="1"/>
  <c r="C16" i="6"/>
  <c r="C59" i="2"/>
  <c r="B8" i="6"/>
  <c r="D56" i="2"/>
  <c r="C4" i="2" l="1"/>
  <c r="C5" i="1" l="1"/>
  <c r="H5" i="1" l="1"/>
  <c r="H12" i="1" s="1"/>
  <c r="C8" i="1"/>
  <c r="C12" i="1" l="1"/>
  <c r="B16" i="6"/>
  <c r="G16" i="6" l="1"/>
  <c r="B21" i="6"/>
  <c r="C28" i="1"/>
  <c r="C31" i="1" s="1"/>
  <c r="B6" i="6"/>
  <c r="D28" i="1"/>
  <c r="C4" i="1" l="1"/>
  <c r="G6" i="6"/>
  <c r="B11" i="6"/>
  <c r="C9" i="3"/>
  <c r="C32" i="3" l="1"/>
  <c r="C35" i="3" s="1"/>
  <c r="C38" i="3" s="1"/>
  <c r="G19" i="3"/>
  <c r="D35" i="3" l="1"/>
  <c r="C9" i="6"/>
  <c r="C19" i="6"/>
  <c r="C21" i="6" l="1"/>
  <c r="G19" i="6"/>
  <c r="G9" i="6"/>
  <c r="C11" i="6"/>
  <c r="G11" i="6" l="1"/>
  <c r="G12" i="6"/>
  <c r="H9" i="6"/>
  <c r="G21" i="6"/>
  <c r="C22" i="6" s="1"/>
  <c r="G22" i="6"/>
  <c r="B22" i="6" l="1"/>
  <c r="F22" i="6"/>
  <c r="E22" i="6"/>
  <c r="D22" i="6"/>
  <c r="H21" i="6"/>
  <c r="H20" i="6"/>
  <c r="H11" i="6"/>
  <c r="H6" i="6"/>
  <c r="F12" i="6"/>
  <c r="E12" i="6"/>
  <c r="H10" i="6"/>
  <c r="C12" i="6"/>
  <c r="D12" i="6"/>
  <c r="H7" i="6"/>
  <c r="H16" i="6"/>
  <c r="H18" i="6"/>
  <c r="H17" i="6"/>
  <c r="H19" i="6"/>
  <c r="H8" i="6"/>
  <c r="B12" i="6"/>
</calcChain>
</file>

<file path=xl/sharedStrings.xml><?xml version="1.0" encoding="utf-8"?>
<sst xmlns="http://schemas.openxmlformats.org/spreadsheetml/2006/main" count="400" uniqueCount="213">
  <si>
    <t>BACTERIA MONITORING AND RESEARCH</t>
  </si>
  <si>
    <t>Contractual (Stroud)</t>
  </si>
  <si>
    <t>Contractual (DNS)</t>
  </si>
  <si>
    <t>Supplies (DNS/DE)</t>
  </si>
  <si>
    <t>Supplies (Stroud/PA)</t>
  </si>
  <si>
    <t>WATER QUALITY MONITORING (OTHER)</t>
  </si>
  <si>
    <t>Supplies</t>
  </si>
  <si>
    <t>Supplies (Misc.)</t>
  </si>
  <si>
    <t>TOTAL STREAMWATCH BUDGET:</t>
  </si>
  <si>
    <t>CONTRACTUAL</t>
  </si>
  <si>
    <t>SUPPLIES</t>
  </si>
  <si>
    <t>STREAMWATCH BUDGET (TOTAL)</t>
  </si>
  <si>
    <t xml:space="preserve"> </t>
  </si>
  <si>
    <t>CHECK:</t>
  </si>
  <si>
    <t xml:space="preserve">TSS (new sites only) </t>
  </si>
  <si>
    <t>NPS portion</t>
  </si>
  <si>
    <t>NonNPS portion</t>
  </si>
  <si>
    <t>UD interns (really should be here not admin)</t>
  </si>
  <si>
    <t>NO3N, OP, CL chemical analysis BSC labs (new disposal fee $5/sample)</t>
  </si>
  <si>
    <t>Cell service for sensor stations</t>
  </si>
  <si>
    <t>Cost Breakdowns</t>
  </si>
  <si>
    <t>Column1</t>
  </si>
  <si>
    <t>Column2</t>
  </si>
  <si>
    <t>Column3</t>
  </si>
  <si>
    <t>Column4</t>
  </si>
  <si>
    <t>Column5</t>
  </si>
  <si>
    <t>Column6</t>
  </si>
  <si>
    <t>Column7</t>
  </si>
  <si>
    <t>SUBTOTAL</t>
  </si>
  <si>
    <t>Supplies Total</t>
  </si>
  <si>
    <t>Contractual Total</t>
  </si>
  <si>
    <t>Portion of NPS BUDGET:</t>
  </si>
  <si>
    <t xml:space="preserve">Total NPS Budget: </t>
  </si>
  <si>
    <t>MUNICIPAL OUTREACH</t>
  </si>
  <si>
    <t xml:space="preserve">Workshop Supplies </t>
  </si>
  <si>
    <t>SCHOOL PROGRAMS</t>
  </si>
  <si>
    <t>total cost</t>
  </si>
  <si>
    <t>Education Program Costs (Stroud)</t>
  </si>
  <si>
    <t xml:space="preserve">Transportation </t>
  </si>
  <si>
    <t>PAEITC funds/$5/student cost</t>
  </si>
  <si>
    <t>CREEK FEST BUDGET (TOTAL)</t>
  </si>
  <si>
    <t>Postcard printing and direct mail</t>
  </si>
  <si>
    <t>Postcard printing only</t>
  </si>
  <si>
    <t>postcard</t>
  </si>
  <si>
    <t>banner</t>
  </si>
  <si>
    <t>water bottle</t>
  </si>
  <si>
    <t>social media ads (including Facebook)</t>
  </si>
  <si>
    <t>band</t>
  </si>
  <si>
    <t>secondary entertainment</t>
  </si>
  <si>
    <t>sound person</t>
  </si>
  <si>
    <t>Other</t>
  </si>
  <si>
    <t>watershed exhibit/craft (supplies)</t>
  </si>
  <si>
    <t>native plants (supplies)</t>
  </si>
  <si>
    <t>Water bottles</t>
  </si>
  <si>
    <t>Exhibitor Gift</t>
  </si>
  <si>
    <t>primary entertainment</t>
  </si>
  <si>
    <t>Source</t>
  </si>
  <si>
    <t>MFPA</t>
  </si>
  <si>
    <t>FWCCSP</t>
  </si>
  <si>
    <t>SUEZ</t>
  </si>
  <si>
    <t>Social media marketing (FB Ads)</t>
  </si>
  <si>
    <t xml:space="preserve">event posters </t>
  </si>
  <si>
    <t>Marketing (contractual)</t>
  </si>
  <si>
    <t>Design Services (contractual)</t>
  </si>
  <si>
    <t>Entertainment (contractual)</t>
  </si>
  <si>
    <t>cost/unit</t>
  </si>
  <si>
    <t>units</t>
  </si>
  <si>
    <t>MO TOTAL COSTS</t>
  </si>
  <si>
    <t>MEDIA AND PRINT MATERIALS</t>
  </si>
  <si>
    <t>Interpretive Signage (18 x 24") (contractual)</t>
  </si>
  <si>
    <t>EDUCATION BUDGET:</t>
  </si>
  <si>
    <t>2021 Education &amp; Community Outreach Budget</t>
  </si>
  <si>
    <t>Municipalities (PA) - BRC/CWMP</t>
  </si>
  <si>
    <t>CWMP PA only (UMD)</t>
  </si>
  <si>
    <t>Contractual PA/DE (UMD)</t>
  </si>
  <si>
    <t>cost/unit (class of 24 students)</t>
  </si>
  <si>
    <t>NPS Expenses</t>
  </si>
  <si>
    <t>costs/unit</t>
  </si>
  <si>
    <t>Stroud Endowment</t>
  </si>
  <si>
    <t>2021 Streamwatch Budget</t>
  </si>
  <si>
    <t>2021 Administration Budget</t>
  </si>
  <si>
    <t>PERSONNEL</t>
  </si>
  <si>
    <t>Internet services and data storage (Contractual)</t>
  </si>
  <si>
    <t>Occupancy (Contractual)</t>
  </si>
  <si>
    <t>OPERATING EXPENSES</t>
  </si>
  <si>
    <t>moved Annual Update  to edu</t>
  </si>
  <si>
    <t>Printing and Postage (suppiies)</t>
  </si>
  <si>
    <t>office supplies (printer cartridges, paper, pens, envelopes, etc)</t>
  </si>
  <si>
    <t>University of Delaware Water Resources Agency student assistance (admin support/creek fest)</t>
  </si>
  <si>
    <t>University of Delaware Water Resources Agency technical assistance (GIS mapping/technical report assistane)</t>
  </si>
  <si>
    <t>Travel - Tolls, Parking, Overnight Accomodations</t>
  </si>
  <si>
    <t>Travel -  Annual Mileage</t>
  </si>
  <si>
    <t>Insurance (Other)</t>
  </si>
  <si>
    <t xml:space="preserve">Operating Expenses Subtotal: </t>
  </si>
  <si>
    <t>OTHER</t>
  </si>
  <si>
    <t>2021 WIP Budget</t>
  </si>
  <si>
    <t>Harmony Park BMP  (West Grove)</t>
  </si>
  <si>
    <t>UT Mill Creek Stream Restoration (NCC)</t>
  </si>
  <si>
    <t>Big Pond Stream Restoration (NCC)</t>
  </si>
  <si>
    <t>DCNR, Franklin, Treevitalize</t>
  </si>
  <si>
    <t>Dockstader, WGB, DRWI</t>
  </si>
  <si>
    <t>WCRF, NFWF, DSRF, NCC, Landowner</t>
  </si>
  <si>
    <t>WCRF, NFWF, DSRF, NCC, DNREC WCCSP</t>
  </si>
  <si>
    <t>WIP Mini-Grants (smaller projects by other entities, land stewardship)</t>
  </si>
  <si>
    <t>Agricultural BMP Support</t>
  </si>
  <si>
    <t>Historic and Cultural Resource Support</t>
  </si>
  <si>
    <t>WIP BUDGET (TOTAL)</t>
  </si>
  <si>
    <t>TOTAL WIP BUDGET:</t>
  </si>
  <si>
    <t>WATERSHED IMPROVEMENT PROJECTS (OTHER)</t>
  </si>
  <si>
    <t>Catch the Rain Program</t>
  </si>
  <si>
    <t>Other Total</t>
  </si>
  <si>
    <t>ADMIN BUDGET TOTAL</t>
  </si>
  <si>
    <t>ADMIN BUDGET SUMMARY</t>
  </si>
  <si>
    <t>2021 OPEN SPACE Budget</t>
  </si>
  <si>
    <t>NL Consultant (Staff: Outreach, Negotiations, Document Preparation &amp; Review)</t>
  </si>
  <si>
    <t>LAND PRESERVATION OUTREACH (Contractual)</t>
  </si>
  <si>
    <t>LAND TRANSACTIONS  (Contractual)</t>
  </si>
  <si>
    <t>Directs: Captial/acquisiton costs</t>
  </si>
  <si>
    <t>Directs: Transactional costs, including survey, title search and insurance, appraisals, environmental reports, legal costs</t>
  </si>
  <si>
    <t>OS BUDGET SUMMARY</t>
  </si>
  <si>
    <t>CHECK</t>
  </si>
  <si>
    <t>Contractual</t>
  </si>
  <si>
    <t>Personnel</t>
  </si>
  <si>
    <t>Streamwatch</t>
  </si>
  <si>
    <t>OS</t>
  </si>
  <si>
    <t>EDU</t>
  </si>
  <si>
    <t>Admin</t>
  </si>
  <si>
    <t>WIP</t>
  </si>
  <si>
    <t>Subtotals</t>
  </si>
  <si>
    <t>Crosscheck:</t>
  </si>
  <si>
    <t>Design &amp; Printing Services (contractual)</t>
  </si>
  <si>
    <t>New Garden</t>
  </si>
  <si>
    <t>NGT NL</t>
  </si>
  <si>
    <t>Newark</t>
  </si>
  <si>
    <t>16 acre Property</t>
  </si>
  <si>
    <t>TNC</t>
  </si>
  <si>
    <t>NL</t>
  </si>
  <si>
    <t>Auburn (paused)</t>
  </si>
  <si>
    <t>LBT, NGT</t>
  </si>
  <si>
    <t>NL, LBLT, NGOSB</t>
  </si>
  <si>
    <t>CA P18AC01264 FY18-22</t>
  </si>
  <si>
    <t>FY21 Modification</t>
  </si>
  <si>
    <t>* may need to order more BMP signs running low on some. - need higher quality check with Pannier on costs. Also have Kecia add 'drill hole markers to signs)</t>
  </si>
  <si>
    <t>White Clay Knoll Afforestation (Franklin)</t>
  </si>
  <si>
    <t>CCPC, DCNR, PADEP GG, NGT, Treevitialize, DRWI?</t>
  </si>
  <si>
    <t>PADEP growing greener, Dockstader,</t>
  </si>
  <si>
    <t xml:space="preserve">Saint Anthony's multiple potential projects including daylighting of stream and wetland creation, buffer expansion, and WQ trenches/basins (New Garden) </t>
  </si>
  <si>
    <t>UD Student Support - Day of Activites/posters</t>
  </si>
  <si>
    <t>split into WQ and CR budgets.</t>
  </si>
  <si>
    <t>Column8</t>
  </si>
  <si>
    <t>Ent only</t>
  </si>
  <si>
    <t>E coli, Ent,TC</t>
  </si>
  <si>
    <t>all of these costs could be shared with the WCRF and or  Stream watch fund</t>
  </si>
  <si>
    <t>WCRF</t>
  </si>
  <si>
    <t xml:space="preserve">Storm Samples (TSS only) </t>
  </si>
  <si>
    <t>Percent of Total</t>
  </si>
  <si>
    <t>$5000 in kind Rutgers</t>
  </si>
  <si>
    <t>5000 over two years</t>
  </si>
  <si>
    <t xml:space="preserve">Basin Retrofits (Penn/London Britain?) </t>
  </si>
  <si>
    <t>planning grant - DNREC SWPG</t>
  </si>
  <si>
    <t>planning grant - NFWF, other?</t>
  </si>
  <si>
    <t xml:space="preserve">CCCF? DEP Planning </t>
  </si>
  <si>
    <t>Dam Removals</t>
  </si>
  <si>
    <t xml:space="preserve">Keen Afforestation (Franklin) </t>
  </si>
  <si>
    <t>Travel</t>
  </si>
  <si>
    <t>Travel Total:</t>
  </si>
  <si>
    <t>TRAVEL</t>
  </si>
  <si>
    <t>Land Stewardship</t>
  </si>
  <si>
    <t>LGT</t>
  </si>
  <si>
    <t>LGOSB</t>
  </si>
  <si>
    <t>funds left over from 2020 budget (covid)</t>
  </si>
  <si>
    <t>Annual Report  design, printing and direct mailing (contractual)</t>
  </si>
  <si>
    <t xml:space="preserve">moved from admin to edu </t>
  </si>
  <si>
    <t>2 workshops</t>
  </si>
  <si>
    <t>PACD grant, DRWI funds via CWMP</t>
  </si>
  <si>
    <t>West Grove Compl Plan GSI Implementation</t>
  </si>
  <si>
    <t>UD CTR line</t>
  </si>
  <si>
    <t>Upper East Branch East Fork Targeted Restoration  Plan (Avondale)</t>
  </si>
  <si>
    <t>Penn Green to close 2021</t>
  </si>
  <si>
    <t>1.3% COLA  + $4049 merit raise</t>
  </si>
  <si>
    <t>Use NonNPS /DRWI /CWMP/UD/ grant funds</t>
  </si>
  <si>
    <t>1182 HOURS</t>
  </si>
  <si>
    <t>county grants, municipal os funds</t>
  </si>
  <si>
    <t xml:space="preserve">1.3% COLA (only $683 NPS increase + $4049 merit increase from outside sources) </t>
  </si>
  <si>
    <t>1182 hours NPS contract, 90 HOURS other, put 4049 from admin into WQIP</t>
  </si>
  <si>
    <t>7500 WCRF</t>
  </si>
  <si>
    <t>Potential Outputs:</t>
  </si>
  <si>
    <t>Trail Connector from landenberg junction (paused)</t>
  </si>
  <si>
    <t>14 acre to close 2021 (woodview)</t>
  </si>
  <si>
    <t>2 other larger parcels moving forward 2022</t>
  </si>
  <si>
    <t>parcel</t>
  </si>
  <si>
    <t>location</t>
  </si>
  <si>
    <t>parties involved</t>
  </si>
  <si>
    <t>OTHER:</t>
  </si>
  <si>
    <t>IRS filing fees (Other)</t>
  </si>
  <si>
    <t>Alternative 2 Admin Plan</t>
  </si>
  <si>
    <t>Alternative 1 Admin Plan - all NPS funded</t>
  </si>
  <si>
    <t>ALTERNATIVE OPTION 2</t>
  </si>
  <si>
    <t>(of the $11,600, $1,600 was buillt in admin)</t>
  </si>
  <si>
    <t>moved into WIP budget from personnel (contractual)</t>
  </si>
  <si>
    <t>CWMP/municipal funds to personnel</t>
  </si>
  <si>
    <t>Other NonNPS budget line (UD CTR unrestricted) to personnel</t>
  </si>
  <si>
    <t>PERSONNEL (ALT Option 1)</t>
  </si>
  <si>
    <t>108 acre parcel (close 2022?)</t>
  </si>
  <si>
    <t>WATERSHED IMPROVEMENT PROJECTS (Contractual) - Priority and Potential Projects Listed Below</t>
  </si>
  <si>
    <t>BRC, NFWF, PADEP GG, Other?</t>
  </si>
  <si>
    <t>UD, NFWF, NCCCD,</t>
  </si>
  <si>
    <t>Dockstader, NFWF DCNR DEPGG</t>
  </si>
  <si>
    <t>Alt 2:</t>
  </si>
  <si>
    <t>expect $6000 from cwmp munis</t>
  </si>
  <si>
    <t>*used to come from WCRF</t>
  </si>
  <si>
    <t xml:space="preserve">  *used to come from WCRF </t>
  </si>
  <si>
    <t>battery replacements, SD cards, field supplies,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</si>
</sst>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</numFmts>
  <fonts count="14">
    <font>
      <sz val="10"/>
      <color theme="1" tint="0.14996795556505021"/>
      <name val="Euphemia"/>
      <family val="2"/>
      <scheme val="minor"/>
    </font>
    <font>
      <sz val="11"/>
      <color theme="4"/>
      <name val="Arial Black"/>
      <family val="2"/>
      <scheme val="major"/>
    </font>
    <font>
      <sz val="11"/>
      <color theme="0"/>
      <name val="Arial Black"/>
      <family val="2"/>
      <scheme val="major"/>
    </font>
    <font>
      <b/>
      <sz val="26"/>
      <color theme="4"/>
      <name val="Arial Black"/>
      <family val="2"/>
      <scheme val="major"/>
    </font>
    <font>
      <sz val="11"/>
      <color theme="3"/>
      <name val="Arial Black"/>
      <family val="2"/>
      <scheme val="major"/>
    </font>
    <font>
      <sz val="10"/>
      <color theme="1" tint="0.14996795556505021"/>
      <name val="Euphemia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24"/>
      <name val="Arial"/>
      <family val="2"/>
    </font>
    <font>
      <sz val="10"/>
      <color rgb="FF000000"/>
      <name val="Calibri"/>
      <family val="2"/>
    </font>
    <font>
      <sz val="12"/>
      <color rgb="FF000000"/>
      <name val="Arial"/>
      <family val="2"/>
    </font>
    <font>
      <b/>
      <sz val="10"/>
      <color theme="1" tint="0.14996795556505021"/>
      <name val="Euphemia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7999816888943144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3" borderId="1" applyNumberFormat="0" applyProtection="0">
      <alignment vertical="center"/>
    </xf>
    <xf numFmtId="0" fontId="1" fillId="2" borderId="2" applyNumberFormat="0" applyProtection="0">
      <alignment vertical="center"/>
    </xf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8">
    <xf numFmtId="0" fontId="0" fillId="0" borderId="0" xfId="0"/>
    <xf numFmtId="0" fontId="6" fillId="0" borderId="0" xfId="0" applyFont="1" applyFill="1" applyBorder="1" applyAlignment="1">
      <alignment horizontal="right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8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44" fontId="6" fillId="0" borderId="0" xfId="5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0" fontId="7" fillId="0" borderId="0" xfId="2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165" fontId="6" fillId="0" borderId="0" xfId="5" applyNumberFormat="1" applyFont="1" applyFill="1" applyBorder="1" applyAlignment="1">
      <alignment horizontal="left" wrapText="1"/>
    </xf>
    <xf numFmtId="165" fontId="7" fillId="0" borderId="0" xfId="5" applyNumberFormat="1" applyFont="1" applyFill="1" applyBorder="1" applyAlignment="1">
      <alignment horizontal="left" wrapText="1"/>
    </xf>
    <xf numFmtId="165" fontId="7" fillId="0" borderId="0" xfId="5" applyNumberFormat="1" applyFont="1" applyFill="1" applyBorder="1" applyAlignment="1">
      <alignment horizontal="right" vertical="center" wrapText="1"/>
    </xf>
    <xf numFmtId="165" fontId="6" fillId="0" borderId="0" xfId="5" applyNumberFormat="1" applyFont="1" applyFill="1" applyBorder="1" applyAlignment="1">
      <alignment horizontal="left" vertical="center" wrapText="1"/>
    </xf>
    <xf numFmtId="165" fontId="7" fillId="0" borderId="0" xfId="5" applyNumberFormat="1" applyFont="1" applyFill="1" applyBorder="1" applyAlignment="1">
      <alignment horizontal="left" vertical="center" wrapText="1"/>
    </xf>
    <xf numFmtId="9" fontId="7" fillId="0" borderId="0" xfId="6" applyFont="1" applyFill="1" applyBorder="1" applyAlignment="1">
      <alignment horizontal="right" wrapText="1"/>
    </xf>
    <xf numFmtId="0" fontId="9" fillId="0" borderId="3" xfId="0" applyFont="1" applyBorder="1" applyAlignment="1">
      <alignment wrapText="1"/>
    </xf>
    <xf numFmtId="6" fontId="6" fillId="0" borderId="0" xfId="0" applyNumberFormat="1" applyFont="1" applyFill="1" applyBorder="1" applyAlignment="1">
      <alignment wrapText="1"/>
    </xf>
    <xf numFmtId="164" fontId="6" fillId="0" borderId="0" xfId="5" applyNumberFormat="1" applyFont="1" applyFill="1" applyBorder="1" applyAlignment="1">
      <alignment wrapText="1"/>
    </xf>
    <xf numFmtId="165" fontId="6" fillId="0" borderId="0" xfId="5" applyNumberFormat="1" applyFont="1" applyFill="1" applyBorder="1" applyAlignment="1">
      <alignment wrapText="1"/>
    </xf>
    <xf numFmtId="0" fontId="6" fillId="0" borderId="0" xfId="2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horizontal="left" vertical="center" wrapText="1"/>
    </xf>
    <xf numFmtId="165" fontId="7" fillId="0" borderId="0" xfId="5" applyNumberFormat="1" applyFont="1" applyFill="1" applyBorder="1" applyAlignment="1">
      <alignment wrapText="1"/>
    </xf>
    <xf numFmtId="165" fontId="7" fillId="0" borderId="0" xfId="0" applyNumberFormat="1" applyFont="1" applyFill="1" applyBorder="1" applyAlignment="1">
      <alignment wrapText="1"/>
    </xf>
    <xf numFmtId="165" fontId="6" fillId="0" borderId="0" xfId="5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>
      <alignment wrapText="1"/>
    </xf>
    <xf numFmtId="0" fontId="10" fillId="0" borderId="0" xfId="1" applyFont="1" applyFill="1" applyBorder="1" applyAlignment="1">
      <alignment horizontal="left" vertical="center" wrapText="1"/>
    </xf>
    <xf numFmtId="6" fontId="7" fillId="0" borderId="0" xfId="0" applyNumberFormat="1" applyFont="1" applyFill="1" applyBorder="1" applyAlignment="1">
      <alignment wrapText="1"/>
    </xf>
    <xf numFmtId="44" fontId="6" fillId="0" borderId="0" xfId="5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wrapText="1"/>
    </xf>
    <xf numFmtId="0" fontId="7" fillId="0" borderId="0" xfId="2" applyFont="1" applyFill="1" applyBorder="1" applyAlignment="1">
      <alignment wrapText="1"/>
    </xf>
    <xf numFmtId="0" fontId="9" fillId="4" borderId="3" xfId="0" applyFont="1" applyFill="1" applyBorder="1" applyAlignment="1">
      <alignment wrapText="1"/>
    </xf>
    <xf numFmtId="44" fontId="11" fillId="4" borderId="0" xfId="0" applyNumberFormat="1" applyFont="1" applyFill="1" applyBorder="1" applyAlignment="1">
      <alignment wrapText="1"/>
    </xf>
    <xf numFmtId="0" fontId="11" fillId="4" borderId="0" xfId="0" applyFont="1" applyFill="1" applyBorder="1" applyAlignment="1">
      <alignment wrapText="1"/>
    </xf>
    <xf numFmtId="44" fontId="12" fillId="5" borderId="0" xfId="0" applyNumberFormat="1" applyFont="1" applyFill="1" applyBorder="1" applyAlignment="1">
      <alignment wrapText="1"/>
    </xf>
    <xf numFmtId="0" fontId="12" fillId="5" borderId="0" xfId="0" applyFont="1" applyFill="1" applyBorder="1" applyAlignment="1">
      <alignment wrapText="1"/>
    </xf>
    <xf numFmtId="0" fontId="13" fillId="0" borderId="0" xfId="0" applyFont="1"/>
    <xf numFmtId="0" fontId="6" fillId="6" borderId="0" xfId="0" applyFont="1" applyFill="1" applyBorder="1" applyAlignment="1">
      <alignment wrapText="1"/>
    </xf>
    <xf numFmtId="0" fontId="13" fillId="0" borderId="0" xfId="0" applyFont="1" applyBorder="1"/>
    <xf numFmtId="0" fontId="0" fillId="0" borderId="0" xfId="0" applyBorder="1"/>
    <xf numFmtId="0" fontId="13" fillId="0" borderId="4" xfId="0" applyFont="1" applyBorder="1"/>
    <xf numFmtId="165" fontId="0" fillId="0" borderId="4" xfId="5" applyNumberFormat="1" applyFont="1" applyBorder="1"/>
    <xf numFmtId="9" fontId="0" fillId="0" borderId="4" xfId="6" applyFont="1" applyBorder="1"/>
    <xf numFmtId="165" fontId="13" fillId="0" borderId="4" xfId="5" applyNumberFormat="1" applyFont="1" applyBorder="1"/>
    <xf numFmtId="0" fontId="0" fillId="0" borderId="4" xfId="0" applyBorder="1"/>
    <xf numFmtId="44" fontId="6" fillId="0" borderId="0" xfId="5" applyFont="1" applyFill="1" applyBorder="1" applyAlignment="1">
      <alignment horizontal="left" wrapText="1"/>
    </xf>
    <xf numFmtId="166" fontId="0" fillId="0" borderId="4" xfId="6" applyNumberFormat="1" applyFont="1" applyBorder="1"/>
    <xf numFmtId="0" fontId="6" fillId="0" borderId="0" xfId="3" applyFont="1" applyFill="1" applyBorder="1" applyAlignment="1">
      <alignment horizontal="right" vertical="center" wrapText="1"/>
    </xf>
    <xf numFmtId="44" fontId="7" fillId="0" borderId="0" xfId="5" applyFont="1" applyFill="1" applyBorder="1" applyAlignment="1">
      <alignment wrapText="1"/>
    </xf>
    <xf numFmtId="165" fontId="7" fillId="0" borderId="0" xfId="5" applyNumberFormat="1" applyFont="1" applyFill="1" applyBorder="1" applyAlignment="1">
      <alignment horizontal="right" wrapText="1"/>
    </xf>
    <xf numFmtId="0" fontId="6" fillId="0" borderId="0" xfId="5" applyNumberFormat="1" applyFont="1" applyFill="1" applyBorder="1" applyAlignment="1">
      <alignment wrapText="1"/>
    </xf>
    <xf numFmtId="165" fontId="0" fillId="0" borderId="0" xfId="0" applyNumberFormat="1"/>
    <xf numFmtId="0" fontId="13" fillId="6" borderId="0" xfId="0" applyFont="1" applyFill="1" applyBorder="1"/>
    <xf numFmtId="0" fontId="0" fillId="6" borderId="0" xfId="0" applyFill="1" applyBorder="1"/>
    <xf numFmtId="0" fontId="0" fillId="6" borderId="0" xfId="0" applyFill="1"/>
    <xf numFmtId="165" fontId="0" fillId="6" borderId="4" xfId="5" applyNumberFormat="1" applyFont="1" applyFill="1" applyBorder="1"/>
    <xf numFmtId="165" fontId="0" fillId="6" borderId="0" xfId="5" applyNumberFormat="1" applyFont="1" applyFill="1"/>
    <xf numFmtId="165" fontId="6" fillId="6" borderId="0" xfId="5" applyNumberFormat="1" applyFont="1" applyFill="1" applyBorder="1" applyAlignment="1">
      <alignment wrapText="1"/>
    </xf>
  </cellXfs>
  <cellStyles count="7">
    <cellStyle name="Currency" xfId="5" builtinId="4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Percent" xfId="6" builtinId="5"/>
    <cellStyle name="Title" xfId="1" builtinId="15" customBuiltin="1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</dxfs>
  <tableStyles count="1" defaultTableStyle="TableStyleMedium2" defaultPivotStyle="PivotStyleLight16">
    <tableStyle name="Table Style 1" pivot="0" count="0" xr9:uid="{BB301792-CC79-4A42-9ADB-29926823B14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220B684-7D7B-B94A-9FC7-12A51DBD0C4B}" name="Table14" displayName="Table14" ref="B1:J38" totalsRowShown="0" headerRowDxfId="53" dataDxfId="52">
  <autoFilter ref="B1:J38" xr:uid="{5DE71405-BF64-E04C-BEBB-B9B3AA2AC964}"/>
  <tableColumns count="9">
    <tableColumn id="1" xr3:uid="{C122CEC1-BDF4-7943-8494-908C72501417}" name="2021 Administration Budget" dataDxfId="51"/>
    <tableColumn id="2" xr3:uid="{4BAE0F70-BF9D-9D45-8D0C-900EEACA2C12}" name="Column1" dataDxfId="50" dataCellStyle="Currency"/>
    <tableColumn id="3" xr3:uid="{07F30817-35A8-D844-A7C4-8643AF9EE78E}" name="Column2" dataDxfId="49"/>
    <tableColumn id="4" xr3:uid="{E92CF033-C9B4-C943-BAD1-CD1A89E1AA16}" name="Column3" dataDxfId="48"/>
    <tableColumn id="5" xr3:uid="{260966D7-F5C2-A14D-9CD2-6ACA009A6885}" name="Column4" dataDxfId="47"/>
    <tableColumn id="6" xr3:uid="{4D4807EA-89D4-B44E-A080-773BCEC6DF77}" name="Column5" dataDxfId="46"/>
    <tableColumn id="7" xr3:uid="{C38B06B4-714C-EB47-8EBA-16DFBB21E0D6}" name="Column6" dataDxfId="45"/>
    <tableColumn id="8" xr3:uid="{AE978118-EF57-7444-9B96-6CAC7827CFBF}" name="Column7" dataDxfId="44"/>
    <tableColumn id="9" xr3:uid="{28F61D34-9E2E-0D4D-AC20-E153B92A4821}" name="Column8" dataDxfId="43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F68753F-1447-9945-9E8A-7C878535758B}" name="Table13" displayName="Table13" ref="B1:J59" totalsRowShown="0" headerRowDxfId="42" dataDxfId="41">
  <autoFilter ref="B1:J59" xr:uid="{EAEE2B90-E793-8847-8E02-9AD996A2CA7E}"/>
  <tableColumns count="9">
    <tableColumn id="1" xr3:uid="{36AAFDE6-1171-584F-83D3-C37EC0E21DC1}" name="2021 Education &amp; Community Outreach Budget" dataDxfId="40"/>
    <tableColumn id="2" xr3:uid="{5558A767-B5AD-F240-8F9B-DE36F8D0D69F}" name="Column1" dataDxfId="39" dataCellStyle="Currency"/>
    <tableColumn id="3" xr3:uid="{CC97453D-9DB6-AF48-8166-960981184AD9}" name="Column2" dataDxfId="38"/>
    <tableColumn id="4" xr3:uid="{C2850A86-D7AC-0D4D-B6A3-FC30D5FA1D40}" name="Column3" dataDxfId="37"/>
    <tableColumn id="5" xr3:uid="{58AA51CF-A3F9-7E4F-BEAB-C82B2A45D2BE}" name="Column4" dataDxfId="36"/>
    <tableColumn id="6" xr3:uid="{23B4AB55-90CA-6442-BCBE-55A02B4D46FB}" name="Column5" dataDxfId="35"/>
    <tableColumn id="7" xr3:uid="{59432D32-874C-1B4C-A8B5-B9DAE3861486}" name="Column6" dataDxfId="34"/>
    <tableColumn id="8" xr3:uid="{C1C977B1-6D47-BF47-AE95-66EAC2C18139}" name="Column7" dataDxfId="33"/>
    <tableColumn id="9" xr3:uid="{7E77E484-9376-224A-A101-5235269522A8}" name="Column8" dataDxfId="32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9BE1EA1-3D3C-104A-8152-0C1BC1109506}" name="Table146" displayName="Table146" ref="B1:I20" totalsRowShown="0" headerRowDxfId="31" dataDxfId="30">
  <autoFilter ref="B1:I20" xr:uid="{A88A4F17-6877-CD4E-8FA7-622B592789FE}"/>
  <tableColumns count="8">
    <tableColumn id="1" xr3:uid="{B4CB5F4C-BF5A-4447-8CE9-6F176460361B}" name="2021 OPEN SPACE Budget" dataDxfId="29"/>
    <tableColumn id="2" xr3:uid="{E74F5FB2-8CC5-114D-B14E-BFBEA65C9106}" name="Column1" dataDxfId="28" dataCellStyle="Currency"/>
    <tableColumn id="3" xr3:uid="{F4800823-3256-4242-A68E-BF7F1032BB73}" name="Column2" dataDxfId="27"/>
    <tableColumn id="4" xr3:uid="{EADAA341-888B-6542-95AE-122BAFD1F01A}" name="Column3" dataDxfId="26"/>
    <tableColumn id="5" xr3:uid="{F0358969-770C-3E41-9756-27227A942EA3}" name="Column4" dataDxfId="25"/>
    <tableColumn id="6" xr3:uid="{068474C0-4ACF-E54F-BB9A-1B499278A1F9}" name="Column5" dataDxfId="24"/>
    <tableColumn id="7" xr3:uid="{5653F92E-D5C6-B243-A0F5-5A43914B0084}" name="Column6" dataDxfId="23"/>
    <tableColumn id="8" xr3:uid="{B916B787-AFB1-EC4E-8949-D4F958B3F71A}" name="Column7" dataDxfId="22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38CDD32-A11A-4945-8443-FA248B860577}" name="Table1" displayName="Table1" ref="B1:J31" totalsRowShown="0" headerRowDxfId="21" dataDxfId="20">
  <autoFilter ref="B1:J31" xr:uid="{C7238FA3-0546-B04A-82A2-A832831B6D8E}"/>
  <tableColumns count="9">
    <tableColumn id="1" xr3:uid="{874B5386-A7A2-F74A-9039-F5FD93608491}" name="2021 Streamwatch Budget" dataDxfId="19"/>
    <tableColumn id="2" xr3:uid="{2C29A0E9-34F0-F44F-8F86-7C9B49D7001E}" name="Column1" dataDxfId="18" dataCellStyle="Currency"/>
    <tableColumn id="3" xr3:uid="{5D31255D-6006-B149-A08B-F4A0E9B3E055}" name="Column2" dataDxfId="17"/>
    <tableColumn id="4" xr3:uid="{3D6718F8-2DF2-8F42-B286-CF0873803164}" name="Column3" dataDxfId="16"/>
    <tableColumn id="5" xr3:uid="{3C7A245C-A833-1E43-B2F1-EAFFADB2972F}" name="Column4" dataDxfId="15"/>
    <tableColumn id="6" xr3:uid="{A0D24866-974F-924D-8625-7B47069CF97B}" name="Column5" dataDxfId="14"/>
    <tableColumn id="7" xr3:uid="{8415528F-460A-554E-AE58-B96D6721710F}" name="Column6" dataDxfId="13"/>
    <tableColumn id="8" xr3:uid="{1E68D802-410B-6E41-983F-390CCB02A6F0}" name="Column7" dataDxfId="12"/>
    <tableColumn id="9" xr3:uid="{17E9F87D-6324-D543-AF06-AF4365812BC0}" name="Column8" dataDxfId="11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50C7CA5-0F97-8F4F-BD09-224EC503C27F}" name="Table15" displayName="Table15" ref="B1:J33" totalsRowShown="0" headerRowDxfId="10" dataDxfId="9">
  <autoFilter ref="B1:J33" xr:uid="{1B7ABB0A-6EE1-4743-85BB-77B6C29373A5}"/>
  <tableColumns count="9">
    <tableColumn id="1" xr3:uid="{164C7C0F-9C49-324C-9D49-345382117AF5}" name="2021 WIP Budget" dataDxfId="8"/>
    <tableColumn id="2" xr3:uid="{86E32813-8644-994B-8512-C5E84174AA02}" name="Column1" dataDxfId="7" dataCellStyle="Currency"/>
    <tableColumn id="3" xr3:uid="{E35461F0-9D1D-D94C-93E1-AAF64F89E474}" name="Column2" dataDxfId="6"/>
    <tableColumn id="4" xr3:uid="{273342F9-CC49-534B-91AD-6AE8F6E8B48A}" name="Column3" dataDxfId="5"/>
    <tableColumn id="5" xr3:uid="{26AF1FD9-CF82-9549-9D28-66E3903C149F}" name="Column4" dataDxfId="4"/>
    <tableColumn id="6" xr3:uid="{CDF0D551-1BBE-F446-83C4-6A71CB36DF8E}" name="Column5" dataDxfId="3"/>
    <tableColumn id="7" xr3:uid="{2832CC92-1CCF-7D44-A425-BB367180943B}" name="Column6" dataDxfId="2"/>
    <tableColumn id="8" xr3:uid="{398A7685-7A5E-974B-A08D-CEDED1DF64D1}" name="Column7" dataDxfId="1"/>
    <tableColumn id="9" xr3:uid="{F6CEC575-9E02-EE43-A2CF-336349997B76}" name="Column8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hannel Marketing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6A0C9"/>
      </a:accent1>
      <a:accent2>
        <a:srgbClr val="E37E42"/>
      </a:accent2>
      <a:accent3>
        <a:srgbClr val="88CA5B"/>
      </a:accent3>
      <a:accent4>
        <a:srgbClr val="9A60A2"/>
      </a:accent4>
      <a:accent5>
        <a:srgbClr val="F2C02D"/>
      </a:accent5>
      <a:accent6>
        <a:srgbClr val="F2726F"/>
      </a:accent6>
      <a:hlink>
        <a:srgbClr val="46A0C9"/>
      </a:hlink>
      <a:folHlink>
        <a:srgbClr val="9A60A2"/>
      </a:folHlink>
    </a:clrScheme>
    <a:fontScheme name="Channel Marketing Budget">
      <a:majorFont>
        <a:latin typeface="Arial Black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F0628-0B6F-804D-ADF2-48BEABE10D73}">
  <dimension ref="A1:O31"/>
  <sheetViews>
    <sheetView tabSelected="1" workbookViewId="0">
      <selection activeCell="I32" sqref="I32"/>
    </sheetView>
  </sheetViews>
  <sheetFormatPr baseColWidth="10" defaultRowHeight="15"/>
  <cols>
    <col min="1" max="1" width="10.83203125" style="46"/>
    <col min="2" max="5" width="11" bestFit="1" customWidth="1"/>
    <col min="6" max="6" width="11" customWidth="1"/>
    <col min="7" max="7" width="11.83203125" bestFit="1" customWidth="1"/>
    <col min="8" max="8" width="16" customWidth="1"/>
  </cols>
  <sheetData>
    <row r="1" spans="1:8">
      <c r="A1" s="46" t="s">
        <v>140</v>
      </c>
    </row>
    <row r="2" spans="1:8">
      <c r="A2" s="46" t="s">
        <v>141</v>
      </c>
    </row>
    <row r="4" spans="1:8">
      <c r="A4" s="62" t="s">
        <v>196</v>
      </c>
      <c r="B4" s="64"/>
      <c r="C4" s="64"/>
      <c r="D4" s="64"/>
    </row>
    <row r="5" spans="1:8" s="46" customFormat="1">
      <c r="A5" s="50"/>
      <c r="B5" s="50" t="s">
        <v>121</v>
      </c>
      <c r="C5" s="50" t="s">
        <v>6</v>
      </c>
      <c r="D5" s="50" t="s">
        <v>50</v>
      </c>
      <c r="E5" s="50" t="s">
        <v>122</v>
      </c>
      <c r="F5" s="50" t="s">
        <v>164</v>
      </c>
      <c r="G5" s="50" t="s">
        <v>128</v>
      </c>
      <c r="H5" s="50" t="s">
        <v>155</v>
      </c>
    </row>
    <row r="6" spans="1:8">
      <c r="A6" s="50" t="s">
        <v>123</v>
      </c>
      <c r="B6" s="51">
        <f>'Streamwatch Budget'!C26</f>
        <v>19770.599999999999</v>
      </c>
      <c r="C6" s="51">
        <f>'Streamwatch Budget'!C27</f>
        <v>5100</v>
      </c>
      <c r="D6" s="51"/>
      <c r="E6" s="51"/>
      <c r="F6" s="51"/>
      <c r="G6" s="51">
        <f>SUM(B6:E6)</f>
        <v>24870.6</v>
      </c>
      <c r="H6" s="52">
        <f>G6/$G$11</f>
        <v>0.1507307263869983</v>
      </c>
    </row>
    <row r="7" spans="1:8">
      <c r="A7" s="50" t="s">
        <v>124</v>
      </c>
      <c r="B7" s="51">
        <f>'Open Space Budget'!C17</f>
        <v>15000</v>
      </c>
      <c r="C7" s="51"/>
      <c r="D7" s="51"/>
      <c r="E7" s="51"/>
      <c r="F7" s="51"/>
      <c r="G7" s="51">
        <f>SUM(B7:E7)</f>
        <v>15000</v>
      </c>
      <c r="H7" s="52">
        <f t="shared" ref="H7:H10" si="0">G7/$G$11</f>
        <v>9.0908980716387006E-2</v>
      </c>
    </row>
    <row r="8" spans="1:8">
      <c r="A8" s="50" t="s">
        <v>125</v>
      </c>
      <c r="B8" s="51">
        <f>'Education Budget'!C54</f>
        <v>10393.6</v>
      </c>
      <c r="C8" s="51">
        <f>'Education Budget'!C55</f>
        <v>490</v>
      </c>
      <c r="D8" s="51"/>
      <c r="E8" s="51"/>
      <c r="F8" s="51"/>
      <c r="G8" s="51">
        <f>'Education Budget'!C56</f>
        <v>10883.6</v>
      </c>
      <c r="H8" s="52">
        <f t="shared" si="0"/>
        <v>6.5961132168324638E-2</v>
      </c>
    </row>
    <row r="9" spans="1:8">
      <c r="A9" s="50" t="s">
        <v>126</v>
      </c>
      <c r="B9" s="51">
        <f>Admin!C31</f>
        <v>6650</v>
      </c>
      <c r="C9" s="51">
        <f>Admin!C32</f>
        <v>724</v>
      </c>
      <c r="D9" s="51">
        <f>Admin!C34</f>
        <v>3222</v>
      </c>
      <c r="E9" s="65">
        <f>Admin!C30</f>
        <v>57240</v>
      </c>
      <c r="F9" s="51">
        <f>Admin!C33</f>
        <v>700</v>
      </c>
      <c r="G9" s="51">
        <f>SUM(B9:F9)</f>
        <v>68536</v>
      </c>
      <c r="H9" s="52">
        <f>G9/$G$11</f>
        <v>0.41536919349188667</v>
      </c>
    </row>
    <row r="10" spans="1:8">
      <c r="A10" s="50" t="s">
        <v>127</v>
      </c>
      <c r="B10" s="65">
        <f>'Watershed Improvement Projects'!C28</f>
        <v>41710</v>
      </c>
      <c r="C10" s="51"/>
      <c r="D10" s="51">
        <f>'Watershed Improvement Projects'!C29</f>
        <v>4000</v>
      </c>
      <c r="E10" s="51"/>
      <c r="F10" s="51"/>
      <c r="G10" s="51">
        <f>SUM(B10:E10)</f>
        <v>45710</v>
      </c>
      <c r="H10" s="52">
        <f t="shared" si="0"/>
        <v>0.27702996723640333</v>
      </c>
    </row>
    <row r="11" spans="1:8" s="46" customFormat="1">
      <c r="A11" s="50" t="s">
        <v>128</v>
      </c>
      <c r="B11" s="53">
        <f>SUM(B6:B10)</f>
        <v>93524.2</v>
      </c>
      <c r="C11" s="53">
        <f t="shared" ref="C11:E11" si="1">SUM(C6:C10)</f>
        <v>6314</v>
      </c>
      <c r="D11" s="53">
        <f t="shared" si="1"/>
        <v>7222</v>
      </c>
      <c r="E11" s="53">
        <f t="shared" si="1"/>
        <v>57240</v>
      </c>
      <c r="F11" s="53">
        <f>SUM(F6:F10)</f>
        <v>700</v>
      </c>
      <c r="G11" s="53">
        <f>SUM(G6:G10)</f>
        <v>165000.20000000001</v>
      </c>
      <c r="H11" s="52">
        <f>G11/$G$11</f>
        <v>1</v>
      </c>
    </row>
    <row r="12" spans="1:8">
      <c r="A12" s="50" t="s">
        <v>129</v>
      </c>
      <c r="B12" s="52">
        <f>B11/G11</f>
        <v>0.56681264628770145</v>
      </c>
      <c r="C12" s="52">
        <f>C11/G11</f>
        <v>3.8266620282884502E-2</v>
      </c>
      <c r="D12" s="52">
        <f>D11/G11</f>
        <v>4.3769643915583127E-2</v>
      </c>
      <c r="E12" s="52">
        <f>E11/G11</f>
        <v>0.3469086704137328</v>
      </c>
      <c r="F12" s="56">
        <f>F11/G11</f>
        <v>4.2424191000980599E-3</v>
      </c>
      <c r="G12" s="53">
        <f>SUM(G6:G10)</f>
        <v>165000.20000000001</v>
      </c>
      <c r="H12" s="54"/>
    </row>
    <row r="13" spans="1:8">
      <c r="A13" s="48"/>
      <c r="B13" s="49"/>
      <c r="C13" s="49"/>
      <c r="D13" s="49"/>
      <c r="E13" s="49"/>
      <c r="F13" s="49"/>
      <c r="G13" s="49"/>
      <c r="H13" s="49"/>
    </row>
    <row r="14" spans="1:8">
      <c r="A14" s="62" t="s">
        <v>195</v>
      </c>
      <c r="B14" s="63"/>
      <c r="C14" s="49"/>
      <c r="D14" s="49"/>
      <c r="E14" s="49"/>
      <c r="F14" s="49"/>
      <c r="G14" s="49"/>
      <c r="H14" s="49"/>
    </row>
    <row r="15" spans="1:8">
      <c r="A15" s="50"/>
      <c r="B15" s="50" t="s">
        <v>121</v>
      </c>
      <c r="C15" s="50" t="s">
        <v>6</v>
      </c>
      <c r="D15" s="50" t="s">
        <v>50</v>
      </c>
      <c r="E15" s="50" t="s">
        <v>122</v>
      </c>
      <c r="F15" s="50" t="s">
        <v>164</v>
      </c>
      <c r="G15" s="50" t="s">
        <v>128</v>
      </c>
      <c r="H15" s="50" t="s">
        <v>155</v>
      </c>
    </row>
    <row r="16" spans="1:8">
      <c r="A16" s="50" t="s">
        <v>123</v>
      </c>
      <c r="B16" s="51">
        <f>'Streamwatch Budget'!C26</f>
        <v>19770.599999999999</v>
      </c>
      <c r="C16" s="51">
        <f>'Streamwatch Budget'!C27</f>
        <v>5100</v>
      </c>
      <c r="D16" s="51"/>
      <c r="E16" s="51"/>
      <c r="F16" s="51"/>
      <c r="G16" s="51">
        <f>SUM(B16:F16)</f>
        <v>24870.6</v>
      </c>
      <c r="H16" s="52">
        <f>G16/$G$11</f>
        <v>0.1507307263869983</v>
      </c>
    </row>
    <row r="17" spans="1:15">
      <c r="A17" s="50" t="s">
        <v>124</v>
      </c>
      <c r="B17" s="51">
        <f>'Open Space Budget'!C17</f>
        <v>15000</v>
      </c>
      <c r="C17" s="51"/>
      <c r="D17" s="51"/>
      <c r="E17" s="51"/>
      <c r="F17" s="51"/>
      <c r="G17" s="51">
        <f t="shared" ref="G17:G20" si="2">SUM(B17:F17)</f>
        <v>15000</v>
      </c>
      <c r="H17" s="52">
        <f t="shared" ref="H17:H18" si="3">G17/$G$11</f>
        <v>9.0908980716387006E-2</v>
      </c>
    </row>
    <row r="18" spans="1:15">
      <c r="A18" s="50" t="s">
        <v>125</v>
      </c>
      <c r="B18" s="51">
        <f>'Education Budget'!C54</f>
        <v>10393.6</v>
      </c>
      <c r="C18" s="51">
        <f>'Education Budget'!C55</f>
        <v>490</v>
      </c>
      <c r="D18" s="51"/>
      <c r="E18" s="51"/>
      <c r="F18" s="51"/>
      <c r="G18" s="51">
        <f t="shared" si="2"/>
        <v>10883.6</v>
      </c>
      <c r="H18" s="52">
        <f t="shared" si="3"/>
        <v>6.5961132168324638E-2</v>
      </c>
    </row>
    <row r="19" spans="1:15">
      <c r="A19" s="50" t="s">
        <v>126</v>
      </c>
      <c r="B19" s="51">
        <f>Admin!C31</f>
        <v>6650</v>
      </c>
      <c r="C19" s="51">
        <f>Admin!C32</f>
        <v>724</v>
      </c>
      <c r="D19" s="51">
        <f>Admin!C34</f>
        <v>3222</v>
      </c>
      <c r="E19" s="65">
        <f>Admin!G5</f>
        <v>53191</v>
      </c>
      <c r="F19" s="51">
        <f>Admin!C33</f>
        <v>700</v>
      </c>
      <c r="G19" s="51">
        <f t="shared" si="2"/>
        <v>64487</v>
      </c>
      <c r="H19" s="52">
        <f>G19/$G$11</f>
        <v>0.39082982929717658</v>
      </c>
      <c r="J19" s="64" t="s">
        <v>208</v>
      </c>
    </row>
    <row r="20" spans="1:15">
      <c r="A20" s="50" t="s">
        <v>127</v>
      </c>
      <c r="B20" s="65">
        <f>'Watershed Improvement Projects'!C28+Admin!H5</f>
        <v>45759</v>
      </c>
      <c r="C20" s="51"/>
      <c r="D20" s="51">
        <f>'Watershed Improvement Projects'!C29</f>
        <v>4000</v>
      </c>
      <c r="E20" s="51"/>
      <c r="F20" s="51"/>
      <c r="G20" s="51">
        <f t="shared" si="2"/>
        <v>49759</v>
      </c>
      <c r="H20" s="52">
        <f t="shared" ref="H20" si="4">G20/$G$11</f>
        <v>0.30156933143111342</v>
      </c>
      <c r="J20" s="66">
        <f>E9-E19</f>
        <v>4049</v>
      </c>
      <c r="K20" s="64" t="s">
        <v>199</v>
      </c>
      <c r="L20" s="64"/>
      <c r="M20" s="64"/>
      <c r="N20" s="64"/>
      <c r="O20" s="64"/>
    </row>
    <row r="21" spans="1:15">
      <c r="A21" s="50" t="s">
        <v>128</v>
      </c>
      <c r="B21" s="53">
        <f>SUM(B16:B20)</f>
        <v>97573.2</v>
      </c>
      <c r="C21" s="53">
        <f t="shared" ref="C21:F21" si="5">SUM(C16:C20)</f>
        <v>6314</v>
      </c>
      <c r="D21" s="53">
        <f t="shared" si="5"/>
        <v>7222</v>
      </c>
      <c r="E21" s="53">
        <f t="shared" si="5"/>
        <v>53191</v>
      </c>
      <c r="F21" s="53">
        <f t="shared" si="5"/>
        <v>700</v>
      </c>
      <c r="G21" s="53">
        <f>SUM(G16:G20)</f>
        <v>165000.20000000001</v>
      </c>
      <c r="H21" s="52">
        <f>G21/$G$11</f>
        <v>1</v>
      </c>
      <c r="J21" s="66">
        <v>3000</v>
      </c>
      <c r="K21" s="64" t="s">
        <v>200</v>
      </c>
      <c r="L21" s="64"/>
      <c r="M21" s="64"/>
      <c r="N21" s="64"/>
      <c r="O21" s="64"/>
    </row>
    <row r="22" spans="1:15">
      <c r="A22" s="50" t="s">
        <v>129</v>
      </c>
      <c r="B22" s="52">
        <f>B21/G21</f>
        <v>0.59135201048241148</v>
      </c>
      <c r="C22" s="52">
        <f>C21/G21</f>
        <v>3.8266620282884502E-2</v>
      </c>
      <c r="D22" s="52">
        <f>D21/G21</f>
        <v>4.3769643915583127E-2</v>
      </c>
      <c r="E22" s="52">
        <f>E21/G21</f>
        <v>0.32236930621902277</v>
      </c>
      <c r="F22" s="56">
        <f>F21/G21</f>
        <v>4.2424191000980599E-3</v>
      </c>
      <c r="G22" s="53">
        <f>SUM(G16:G20)</f>
        <v>165000.20000000001</v>
      </c>
      <c r="H22" s="54"/>
      <c r="J22" s="66">
        <v>1049</v>
      </c>
      <c r="K22" s="64" t="s">
        <v>201</v>
      </c>
      <c r="L22" s="64"/>
      <c r="M22" s="64"/>
      <c r="N22" s="64"/>
      <c r="O22" s="64"/>
    </row>
    <row r="23" spans="1:15">
      <c r="B23" t="s">
        <v>12</v>
      </c>
      <c r="J23" s="64"/>
      <c r="K23" s="64" t="s">
        <v>198</v>
      </c>
      <c r="L23" s="64"/>
      <c r="M23" s="64"/>
      <c r="N23" s="64"/>
      <c r="O23" s="64"/>
    </row>
    <row r="26" spans="1:15">
      <c r="B26" s="61" t="s">
        <v>12</v>
      </c>
    </row>
    <row r="28" spans="1:15">
      <c r="B28" s="61" t="s">
        <v>12</v>
      </c>
    </row>
    <row r="30" spans="1:15">
      <c r="G30" t="s">
        <v>12</v>
      </c>
    </row>
    <row r="31" spans="1:15">
      <c r="G31" s="61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7C719-8EE2-DE45-9BCF-581C6F687048}">
  <dimension ref="B1:K47"/>
  <sheetViews>
    <sheetView topLeftCell="A16" workbookViewId="0">
      <selection activeCell="B5" sqref="B5"/>
    </sheetView>
  </sheetViews>
  <sheetFormatPr baseColWidth="10" defaultColWidth="8.83203125" defaultRowHeight="16"/>
  <cols>
    <col min="1" max="1" width="2" style="5" customWidth="1"/>
    <col min="2" max="2" width="48.1640625" style="5" customWidth="1"/>
    <col min="3" max="3" width="17.83203125" style="15" customWidth="1"/>
    <col min="4" max="4" width="15.5" style="5" customWidth="1"/>
    <col min="5" max="5" width="11.1640625" style="5" customWidth="1"/>
    <col min="6" max="6" width="9.6640625" style="5" customWidth="1"/>
    <col min="7" max="7" width="13.83203125" style="5" customWidth="1"/>
    <col min="8" max="8" width="20.83203125" style="5" customWidth="1"/>
    <col min="9" max="9" width="16.6640625" style="5" customWidth="1"/>
    <col min="10" max="10" width="8.83203125" style="5"/>
    <col min="11" max="11" width="21" style="5" customWidth="1"/>
    <col min="12" max="16384" width="8.83203125" style="5"/>
  </cols>
  <sheetData>
    <row r="1" spans="2:11" ht="62">
      <c r="B1" s="6" t="s">
        <v>80</v>
      </c>
      <c r="C1" s="15" t="s">
        <v>21</v>
      </c>
      <c r="D1" s="5" t="s">
        <v>22</v>
      </c>
      <c r="E1" s="5" t="s">
        <v>23</v>
      </c>
      <c r="F1" s="5" t="s">
        <v>24</v>
      </c>
      <c r="G1" s="5" t="s">
        <v>25</v>
      </c>
      <c r="H1" s="5" t="s">
        <v>26</v>
      </c>
      <c r="I1" s="5" t="s">
        <v>27</v>
      </c>
      <c r="J1" s="5" t="s">
        <v>149</v>
      </c>
    </row>
    <row r="2" spans="2:11" ht="17">
      <c r="B2" s="7"/>
      <c r="C2" s="16" t="s">
        <v>76</v>
      </c>
      <c r="D2" s="9" t="s">
        <v>12</v>
      </c>
      <c r="E2" s="9"/>
      <c r="F2" s="9"/>
      <c r="G2" s="9" t="s">
        <v>15</v>
      </c>
      <c r="H2" s="9" t="s">
        <v>16</v>
      </c>
      <c r="I2" s="9" t="s">
        <v>56</v>
      </c>
    </row>
    <row r="3" spans="2:11" ht="17">
      <c r="B3" s="10" t="s">
        <v>20</v>
      </c>
      <c r="C3" s="15" t="s">
        <v>12</v>
      </c>
      <c r="D3" s="5" t="s">
        <v>65</v>
      </c>
      <c r="E3" s="5" t="s">
        <v>66</v>
      </c>
      <c r="F3" s="5" t="s">
        <v>77</v>
      </c>
    </row>
    <row r="4" spans="2:11" s="10" customFormat="1" ht="51">
      <c r="B4" s="13" t="s">
        <v>202</v>
      </c>
      <c r="C4" s="59">
        <f>Table14[[#This Row],[Column5]]</f>
        <v>57240</v>
      </c>
      <c r="D4" s="58">
        <v>45</v>
      </c>
      <c r="E4" s="10">
        <v>1272</v>
      </c>
      <c r="F4" s="28">
        <f>Table14[[#This Row],[Column3]]*Table14[[#This Row],[Column2]]</f>
        <v>57240</v>
      </c>
      <c r="G4" s="28">
        <f>Table14[[#This Row],[Column4]]</f>
        <v>57240</v>
      </c>
      <c r="I4" s="10" t="s">
        <v>179</v>
      </c>
      <c r="J4" s="5"/>
      <c r="K4" s="10" t="s">
        <v>181</v>
      </c>
    </row>
    <row r="5" spans="2:11" s="10" customFormat="1" ht="119">
      <c r="B5" s="13" t="s">
        <v>197</v>
      </c>
      <c r="C5" s="17"/>
      <c r="D5" s="58">
        <v>45</v>
      </c>
      <c r="E5" s="10">
        <v>1272</v>
      </c>
      <c r="F5" s="28">
        <f>Table14[[#This Row],[Column3]]*Table14[[#This Row],[Column2]]</f>
        <v>57240</v>
      </c>
      <c r="G5" s="28">
        <f>Table14[[#This Row],[Column4]]-Table14[[#This Row],[Column6]]</f>
        <v>53191</v>
      </c>
      <c r="H5" s="28">
        <v>4049</v>
      </c>
      <c r="I5" s="10" t="s">
        <v>183</v>
      </c>
      <c r="J5" s="5" t="s">
        <v>180</v>
      </c>
      <c r="K5" s="10" t="s">
        <v>184</v>
      </c>
    </row>
    <row r="6" spans="2:11" s="10" customFormat="1" ht="17">
      <c r="B6" s="13" t="s">
        <v>84</v>
      </c>
      <c r="C6" s="17"/>
      <c r="J6" s="5"/>
    </row>
    <row r="7" spans="2:11" ht="29">
      <c r="B7" s="35" t="s">
        <v>87</v>
      </c>
      <c r="C7" s="15">
        <f>Table14[[#This Row],[Column5]]</f>
        <v>669</v>
      </c>
      <c r="D7" s="24">
        <v>669</v>
      </c>
      <c r="E7" s="5">
        <v>1</v>
      </c>
      <c r="F7" s="24">
        <f>Table14[[#This Row],[Column3]]*Table14[[#This Row],[Column2]]</f>
        <v>669</v>
      </c>
      <c r="G7" s="24">
        <f>Table14[[#This Row],[Column4]]</f>
        <v>669</v>
      </c>
      <c r="H7" s="24">
        <f>Table14[[#This Row],[Column4]]-Table14[[#This Row],[Column1]]</f>
        <v>0</v>
      </c>
      <c r="I7" s="5" t="s">
        <v>12</v>
      </c>
    </row>
    <row r="8" spans="2:11" ht="19" customHeight="1">
      <c r="B8" s="35" t="s">
        <v>86</v>
      </c>
      <c r="C8" s="15">
        <f>Table14[[#This Row],[Column5]]</f>
        <v>55.000000000000007</v>
      </c>
      <c r="D8" s="34">
        <v>0.55000000000000004</v>
      </c>
      <c r="E8" s="5">
        <v>100</v>
      </c>
      <c r="F8" s="24">
        <f>Table14[[#This Row],[Column2]]*Table14[[#This Row],[Column3]]</f>
        <v>55.000000000000007</v>
      </c>
      <c r="G8" s="24">
        <f>Table14[[#This Row],[Column4]]</f>
        <v>55.000000000000007</v>
      </c>
      <c r="H8" s="24"/>
      <c r="K8" s="37" t="s">
        <v>85</v>
      </c>
    </row>
    <row r="9" spans="2:11" ht="19" customHeight="1">
      <c r="B9" s="3" t="s">
        <v>29</v>
      </c>
      <c r="C9" s="16">
        <f>SUM(C7:C8)</f>
        <v>724</v>
      </c>
      <c r="D9" s="34"/>
      <c r="F9" s="24"/>
      <c r="G9" s="24"/>
      <c r="H9" s="24"/>
      <c r="K9" s="37"/>
    </row>
    <row r="10" spans="2:11" ht="19" customHeight="1">
      <c r="B10" s="3"/>
      <c r="C10" s="16"/>
      <c r="D10" s="34"/>
      <c r="F10" s="24"/>
      <c r="G10" s="24"/>
      <c r="H10" s="24"/>
      <c r="K10" s="37"/>
    </row>
    <row r="11" spans="2:11">
      <c r="B11" s="35" t="s">
        <v>91</v>
      </c>
      <c r="C11" s="15">
        <f>Table14[[#This Row],[Column5]]</f>
        <v>560</v>
      </c>
      <c r="D11" s="34">
        <v>0.56000000000000005</v>
      </c>
      <c r="E11" s="5">
        <v>1000</v>
      </c>
      <c r="F11" s="24">
        <f>Table14[[#This Row],[Column2]]*Table14[[#This Row],[Column3]]</f>
        <v>560</v>
      </c>
      <c r="G11" s="24">
        <f>Table14[[#This Row],[Column4]]</f>
        <v>560</v>
      </c>
      <c r="H11" s="24"/>
    </row>
    <row r="12" spans="2:11">
      <c r="B12" s="35" t="s">
        <v>90</v>
      </c>
      <c r="C12" s="15">
        <f>Table14[[#This Row],[Column5]]</f>
        <v>140</v>
      </c>
      <c r="D12" s="34">
        <v>140</v>
      </c>
      <c r="E12" s="5">
        <v>1</v>
      </c>
      <c r="F12" s="24">
        <f>Table14[[#This Row],[Column2]]*Table14[[#This Row],[Column3]]</f>
        <v>140</v>
      </c>
      <c r="G12" s="24">
        <f>Table14[[#This Row],[Column4]]</f>
        <v>140</v>
      </c>
      <c r="H12" s="24"/>
    </row>
    <row r="13" spans="2:11" ht="17">
      <c r="B13" s="38" t="s">
        <v>165</v>
      </c>
      <c r="C13" s="16">
        <f>SUM(C11:C12)</f>
        <v>700</v>
      </c>
      <c r="D13" s="34"/>
      <c r="F13" s="24"/>
      <c r="G13" s="24"/>
      <c r="H13" s="24"/>
    </row>
    <row r="14" spans="2:11">
      <c r="B14" s="1"/>
      <c r="D14" s="34"/>
      <c r="F14" s="24"/>
      <c r="G14" s="24"/>
      <c r="H14" s="24"/>
    </row>
    <row r="15" spans="2:11">
      <c r="B15" s="35" t="s">
        <v>82</v>
      </c>
      <c r="C15" s="15">
        <f>Table14[[#This Row],[Column5]]</f>
        <v>850</v>
      </c>
      <c r="D15" s="24">
        <f>Table14[[#This Row],[Column4]]/Table14[[#This Row],[Column3]]</f>
        <v>70.833333333333329</v>
      </c>
      <c r="E15" s="5">
        <v>12</v>
      </c>
      <c r="F15" s="24">
        <v>850</v>
      </c>
      <c r="G15" s="24">
        <f>Table14[[#This Row],[Column4]]</f>
        <v>850</v>
      </c>
      <c r="H15" s="24"/>
    </row>
    <row r="16" spans="2:11">
      <c r="B16" s="35" t="s">
        <v>83</v>
      </c>
      <c r="C16" s="15">
        <f>Table14[[#This Row],[Column5]]</f>
        <v>800</v>
      </c>
      <c r="D16" s="24">
        <f>Table14[[#This Row],[Column4]]/Table14[[#This Row],[Column3]]</f>
        <v>66.666666666666671</v>
      </c>
      <c r="E16" s="5">
        <v>12</v>
      </c>
      <c r="F16" s="24">
        <v>800</v>
      </c>
      <c r="G16" s="24">
        <f>Table14[[#This Row],[Column4]]</f>
        <v>800</v>
      </c>
      <c r="H16" s="24"/>
    </row>
    <row r="17" spans="2:11" ht="17">
      <c r="B17" s="3" t="s">
        <v>30</v>
      </c>
      <c r="C17" s="16">
        <f>SUM(C15:C16)</f>
        <v>1650</v>
      </c>
      <c r="D17" s="34"/>
      <c r="F17" s="24"/>
      <c r="G17" s="24"/>
      <c r="H17" s="24"/>
    </row>
    <row r="18" spans="2:11">
      <c r="B18" s="3"/>
      <c r="C18" s="16"/>
      <c r="D18" s="34"/>
      <c r="F18" s="24"/>
      <c r="G18" s="24"/>
      <c r="H18" s="24"/>
    </row>
    <row r="19" spans="2:11" ht="17">
      <c r="B19" s="38" t="s">
        <v>93</v>
      </c>
      <c r="D19" s="34"/>
      <c r="F19" s="24"/>
      <c r="G19" s="16">
        <f>C17+C9+C13</f>
        <v>3074</v>
      </c>
      <c r="H19" s="24"/>
    </row>
    <row r="20" spans="2:11">
      <c r="B20" s="38"/>
      <c r="C20" s="16"/>
      <c r="D20" s="34"/>
      <c r="F20" s="24"/>
      <c r="G20" s="24"/>
      <c r="H20" s="24"/>
    </row>
    <row r="21" spans="2:11" ht="29">
      <c r="B21" s="36" t="s">
        <v>89</v>
      </c>
      <c r="C21" s="15">
        <f>Table14[[#This Row],[Column5]]</f>
        <v>5000</v>
      </c>
      <c r="D21" s="34">
        <v>50</v>
      </c>
      <c r="E21" s="5">
        <v>100</v>
      </c>
      <c r="F21" s="24">
        <f>Table14[[#This Row],[Column3]]*Table14[[#This Row],[Column2]]</f>
        <v>5000</v>
      </c>
      <c r="G21" s="24">
        <f>Table14[[#This Row],[Column4]]</f>
        <v>5000</v>
      </c>
      <c r="H21" s="24"/>
    </row>
    <row r="22" spans="2:11" ht="34">
      <c r="B22" s="36" t="s">
        <v>88</v>
      </c>
      <c r="C22" s="15">
        <v>0</v>
      </c>
      <c r="D22" s="34">
        <v>0</v>
      </c>
      <c r="E22" s="5">
        <v>0</v>
      </c>
      <c r="F22" s="24">
        <v>0</v>
      </c>
      <c r="G22" s="24">
        <v>0</v>
      </c>
      <c r="H22" s="24"/>
      <c r="K22" s="5" t="s">
        <v>148</v>
      </c>
    </row>
    <row r="23" spans="2:11" ht="17">
      <c r="B23" s="3" t="s">
        <v>30</v>
      </c>
      <c r="C23" s="16">
        <f>SUM(C21:C22)</f>
        <v>5000</v>
      </c>
      <c r="D23" s="15" t="s">
        <v>12</v>
      </c>
      <c r="E23" s="15" t="s">
        <v>12</v>
      </c>
      <c r="F23" s="15" t="s">
        <v>12</v>
      </c>
      <c r="G23" s="24" t="str">
        <f>Table14[[#This Row],[Column4]]</f>
        <v xml:space="preserve"> </v>
      </c>
      <c r="H23" s="24"/>
    </row>
    <row r="24" spans="2:11">
      <c r="B24" s="3"/>
      <c r="C24" s="16"/>
      <c r="D24" s="15"/>
      <c r="E24" s="15"/>
      <c r="F24" s="15"/>
      <c r="G24" s="24"/>
      <c r="H24" s="24"/>
    </row>
    <row r="25" spans="2:11" ht="17">
      <c r="B25" s="3" t="s">
        <v>193</v>
      </c>
      <c r="D25" s="15"/>
      <c r="E25" s="15"/>
      <c r="F25" s="15"/>
      <c r="G25" s="24"/>
      <c r="H25" s="24"/>
    </row>
    <row r="26" spans="2:11" s="10" customFormat="1" ht="17">
      <c r="B26" s="2" t="s">
        <v>92</v>
      </c>
      <c r="C26" s="16">
        <f>Table14[[#This Row],[Column5]]</f>
        <v>3000</v>
      </c>
      <c r="D26" s="16">
        <v>3000</v>
      </c>
      <c r="E26" s="16">
        <v>1</v>
      </c>
      <c r="F26" s="16">
        <f>Table14[[#This Row],[Column3]]*Table14[[#This Row],[Column2]]</f>
        <v>3000</v>
      </c>
      <c r="G26" s="28">
        <f>Table14[[#This Row],[Column4]]</f>
        <v>3000</v>
      </c>
      <c r="H26" s="28"/>
      <c r="J26" s="5"/>
    </row>
    <row r="27" spans="2:11" s="10" customFormat="1" ht="17">
      <c r="B27" s="2" t="s">
        <v>194</v>
      </c>
      <c r="C27" s="16">
        <f>Table14[[#This Row],[Column5]]</f>
        <v>222</v>
      </c>
      <c r="D27" s="16">
        <v>222</v>
      </c>
      <c r="E27" s="16">
        <v>1</v>
      </c>
      <c r="F27" s="16">
        <f>Table14[[#This Row],[Column3]]*Table14[[#This Row],[Column2]]</f>
        <v>222</v>
      </c>
      <c r="G27" s="28">
        <f>Table14[[#This Row],[Column4]]</f>
        <v>222</v>
      </c>
      <c r="H27" s="28"/>
      <c r="J27" s="5"/>
    </row>
    <row r="28" spans="2:11">
      <c r="B28" s="2"/>
      <c r="D28" s="15"/>
      <c r="E28" s="15"/>
      <c r="F28" s="15"/>
      <c r="G28" s="24"/>
      <c r="H28" s="24"/>
    </row>
    <row r="29" spans="2:11" ht="17">
      <c r="B29" s="13" t="s">
        <v>112</v>
      </c>
      <c r="C29" s="19" t="s">
        <v>12</v>
      </c>
      <c r="D29" s="10"/>
      <c r="E29" s="10"/>
      <c r="F29" s="10"/>
      <c r="G29" s="10"/>
      <c r="H29" s="10"/>
      <c r="I29" s="10"/>
    </row>
    <row r="30" spans="2:11" ht="17">
      <c r="B30" s="13" t="s">
        <v>81</v>
      </c>
      <c r="C30" s="19">
        <f>C4</f>
        <v>57240</v>
      </c>
      <c r="D30" s="10"/>
      <c r="E30" s="10"/>
      <c r="F30" s="10"/>
      <c r="G30" s="10"/>
      <c r="H30" s="10"/>
      <c r="I30" s="10"/>
    </row>
    <row r="31" spans="2:11" ht="17">
      <c r="B31" s="10" t="s">
        <v>9</v>
      </c>
      <c r="C31" s="16">
        <f>C17+C23</f>
        <v>6650</v>
      </c>
    </row>
    <row r="32" spans="2:11" s="10" customFormat="1" ht="17">
      <c r="B32" s="10" t="s">
        <v>10</v>
      </c>
      <c r="C32" s="16">
        <f>C9</f>
        <v>724</v>
      </c>
      <c r="D32" s="5"/>
      <c r="E32" s="5"/>
      <c r="F32" s="5"/>
      <c r="G32" s="5"/>
      <c r="H32" s="5"/>
      <c r="I32" s="5"/>
      <c r="J32" s="5"/>
    </row>
    <row r="33" spans="2:10" s="10" customFormat="1" ht="17">
      <c r="B33" s="10" t="s">
        <v>166</v>
      </c>
      <c r="C33" s="16">
        <f>C13</f>
        <v>700</v>
      </c>
      <c r="D33" s="5"/>
      <c r="E33" s="5"/>
      <c r="F33" s="5"/>
      <c r="G33" s="5"/>
      <c r="H33" s="5"/>
      <c r="I33" s="5"/>
      <c r="J33" s="5"/>
    </row>
    <row r="34" spans="2:10" ht="17">
      <c r="B34" s="14" t="s">
        <v>94</v>
      </c>
      <c r="C34" s="19">
        <f>SUM(C26:C27)</f>
        <v>3222</v>
      </c>
      <c r="D34" s="1" t="s">
        <v>13</v>
      </c>
    </row>
    <row r="35" spans="2:10" ht="17">
      <c r="B35" s="13" t="s">
        <v>111</v>
      </c>
      <c r="C35" s="16">
        <f>SUM(C30:C34)</f>
        <v>68536</v>
      </c>
      <c r="D35" s="39">
        <f>SUM(C30:C34)</f>
        <v>68536</v>
      </c>
    </row>
    <row r="36" spans="2:10">
      <c r="B36" s="13"/>
      <c r="C36" s="16"/>
      <c r="D36" s="12"/>
    </row>
    <row r="37" spans="2:10" ht="17">
      <c r="B37" s="10" t="s">
        <v>32</v>
      </c>
      <c r="C37" s="15">
        <v>165000</v>
      </c>
      <c r="E37" s="5" t="s">
        <v>12</v>
      </c>
    </row>
    <row r="38" spans="2:10" ht="17">
      <c r="B38" s="10" t="s">
        <v>31</v>
      </c>
      <c r="C38" s="20">
        <f>C35/C37</f>
        <v>0.41536969696969694</v>
      </c>
    </row>
    <row r="47" spans="2:10" s="10" customFormat="1">
      <c r="B47" s="5"/>
      <c r="C47" s="15"/>
      <c r="D47" s="5"/>
      <c r="E47" s="5"/>
      <c r="F47" s="5"/>
      <c r="G47" s="5"/>
      <c r="H47" s="5"/>
      <c r="I47" s="5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1FA46-6F41-0D43-B0E2-3DB7A7953818}">
  <dimension ref="B1:O66"/>
  <sheetViews>
    <sheetView topLeftCell="A79" zoomScale="83" workbookViewId="0">
      <selection activeCell="J50" sqref="J50"/>
    </sheetView>
  </sheetViews>
  <sheetFormatPr baseColWidth="10" defaultColWidth="8.83203125" defaultRowHeight="16"/>
  <cols>
    <col min="1" max="1" width="2" style="5" customWidth="1"/>
    <col min="2" max="2" width="48.1640625" style="5" customWidth="1"/>
    <col min="3" max="3" width="17.83203125" style="15" customWidth="1"/>
    <col min="4" max="4" width="15.5" style="5" customWidth="1"/>
    <col min="5" max="5" width="11.1640625" style="5" customWidth="1"/>
    <col min="6" max="6" width="14.5" style="5" customWidth="1"/>
    <col min="7" max="7" width="13.83203125" style="5" customWidth="1"/>
    <col min="8" max="8" width="20.83203125" style="5" customWidth="1"/>
    <col min="9" max="9" width="22.5" style="5" customWidth="1"/>
    <col min="10" max="11" width="38" style="5" customWidth="1"/>
    <col min="12" max="16384" width="8.83203125" style="5"/>
  </cols>
  <sheetData>
    <row r="1" spans="2:15" ht="93">
      <c r="B1" s="32" t="s">
        <v>71</v>
      </c>
      <c r="C1" s="15" t="s">
        <v>21</v>
      </c>
      <c r="D1" s="5" t="s">
        <v>22</v>
      </c>
      <c r="E1" s="5" t="s">
        <v>23</v>
      </c>
      <c r="F1" s="5" t="s">
        <v>24</v>
      </c>
      <c r="G1" s="5" t="s">
        <v>25</v>
      </c>
      <c r="H1" s="5" t="s">
        <v>26</v>
      </c>
      <c r="I1" s="5" t="s">
        <v>27</v>
      </c>
      <c r="J1" s="5" t="s">
        <v>149</v>
      </c>
    </row>
    <row r="2" spans="2:15" ht="17">
      <c r="B2" s="8"/>
      <c r="C2" s="16" t="s">
        <v>76</v>
      </c>
      <c r="D2" s="9" t="s">
        <v>12</v>
      </c>
      <c r="E2" s="9"/>
      <c r="F2" s="9"/>
      <c r="G2" s="9" t="s">
        <v>15</v>
      </c>
      <c r="H2" s="9" t="s">
        <v>16</v>
      </c>
      <c r="I2" s="9" t="s">
        <v>56</v>
      </c>
    </row>
    <row r="3" spans="2:15" ht="17">
      <c r="B3" s="10" t="s">
        <v>20</v>
      </c>
      <c r="C3" s="16" t="s">
        <v>12</v>
      </c>
      <c r="D3" s="28" t="s">
        <v>65</v>
      </c>
      <c r="E3" s="28" t="s">
        <v>66</v>
      </c>
      <c r="F3" s="28" t="s">
        <v>36</v>
      </c>
      <c r="G3" s="10"/>
      <c r="H3" s="10"/>
      <c r="I3" s="10"/>
    </row>
    <row r="4" spans="2:15" s="10" customFormat="1" ht="17">
      <c r="B4" s="13" t="s">
        <v>33</v>
      </c>
      <c r="C4" s="30">
        <f>C11/C56</f>
        <v>0.66154581204748431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7">
      <c r="B5" s="1" t="s">
        <v>74</v>
      </c>
      <c r="C5" s="15">
        <f>Table13[[#This Row],[Column5]]</f>
        <v>7000</v>
      </c>
      <c r="D5" s="24">
        <v>100</v>
      </c>
      <c r="E5" s="5">
        <v>70</v>
      </c>
      <c r="F5" s="24">
        <f>Table13[[#This Row],[Column3]]*Table13[[#This Row],[Column2]]</f>
        <v>7000</v>
      </c>
      <c r="G5" s="24">
        <f>Table13[[#This Row],[Column4]]</f>
        <v>7000</v>
      </c>
      <c r="H5" s="24" t="s">
        <v>12</v>
      </c>
    </row>
    <row r="6" spans="2:15" ht="34">
      <c r="B6" s="1" t="s">
        <v>73</v>
      </c>
      <c r="C6" s="15">
        <f>Table13[[#This Row],[Column5]]</f>
        <v>0</v>
      </c>
      <c r="D6" s="24">
        <v>100</v>
      </c>
      <c r="E6" s="5">
        <v>30</v>
      </c>
      <c r="F6" s="24">
        <f>Table13[[#This Row],[Column3]]*Table13[[#This Row],[Column2]]</f>
        <v>3000</v>
      </c>
      <c r="G6" s="24">
        <v>0</v>
      </c>
      <c r="H6" s="24">
        <f>Table13[[#This Row],[Column4]]</f>
        <v>3000</v>
      </c>
      <c r="I6" s="5" t="s">
        <v>72</v>
      </c>
      <c r="J6" s="47" t="s">
        <v>209</v>
      </c>
    </row>
    <row r="7" spans="2:15" ht="34">
      <c r="B7" s="57" t="s">
        <v>173</v>
      </c>
      <c r="C7" s="19">
        <f>Table13[[#This Row],[Column5]]</f>
        <v>0</v>
      </c>
      <c r="D7" s="24">
        <v>1250</v>
      </c>
      <c r="E7" s="5">
        <v>2</v>
      </c>
      <c r="F7" s="24">
        <f>Table13[[#This Row],[Column3]]*Table13[[#This Row],[Column2]]</f>
        <v>2500</v>
      </c>
      <c r="G7" s="24">
        <v>0</v>
      </c>
      <c r="H7" s="24">
        <f>Table13[[#This Row],[Column4]]-Table13[[#This Row],[Column5]]</f>
        <v>2500</v>
      </c>
      <c r="I7" s="5" t="s">
        <v>174</v>
      </c>
    </row>
    <row r="8" spans="2:15" ht="17">
      <c r="B8" s="2" t="s">
        <v>30</v>
      </c>
      <c r="C8" s="19">
        <f>SUM(C5:C6)</f>
        <v>7000</v>
      </c>
    </row>
    <row r="9" spans="2:15" ht="17">
      <c r="B9" s="1" t="s">
        <v>34</v>
      </c>
      <c r="C9" s="15">
        <v>200</v>
      </c>
      <c r="G9" s="5">
        <f>Table13[[#This Row],[Column1]]</f>
        <v>200</v>
      </c>
    </row>
    <row r="10" spans="2:15" ht="17">
      <c r="B10" s="2" t="s">
        <v>29</v>
      </c>
      <c r="C10" s="19">
        <f>SUM(C9:C9)</f>
        <v>200</v>
      </c>
    </row>
    <row r="11" spans="2:15" s="10" customFormat="1" ht="17">
      <c r="B11" s="2" t="s">
        <v>67</v>
      </c>
      <c r="C11" s="19">
        <f>C8+C10</f>
        <v>7200</v>
      </c>
      <c r="F11" s="29">
        <f>SUM(F5:F10)</f>
        <v>12500</v>
      </c>
      <c r="G11" s="29">
        <f>SUM(G5:G10)</f>
        <v>7200</v>
      </c>
      <c r="H11" s="29">
        <f>SUM(H5:H10)</f>
        <v>5500</v>
      </c>
      <c r="J11" s="5"/>
    </row>
    <row r="12" spans="2:15">
      <c r="B12" s="4"/>
      <c r="C12" s="18"/>
    </row>
    <row r="13" spans="2:15" s="10" customFormat="1" ht="51">
      <c r="B13" s="40" t="s">
        <v>35</v>
      </c>
      <c r="C13" s="30" t="s">
        <v>12</v>
      </c>
      <c r="D13" s="10" t="s">
        <v>75</v>
      </c>
      <c r="E13" s="10" t="s">
        <v>66</v>
      </c>
      <c r="F13" s="10" t="s">
        <v>36</v>
      </c>
      <c r="G13" s="5"/>
      <c r="H13" s="5"/>
      <c r="I13" s="5"/>
      <c r="J13" s="5"/>
      <c r="K13" s="21" t="s">
        <v>12</v>
      </c>
      <c r="L13" s="5"/>
      <c r="M13" s="5"/>
      <c r="N13" s="5"/>
      <c r="O13" s="5"/>
    </row>
    <row r="14" spans="2:15" ht="34">
      <c r="B14" s="1" t="s">
        <v>37</v>
      </c>
      <c r="C14" s="15">
        <f>Table13[[#This Row],[Column5]]</f>
        <v>0</v>
      </c>
      <c r="D14" s="22">
        <v>375</v>
      </c>
      <c r="E14" s="5">
        <v>41</v>
      </c>
      <c r="F14" s="15">
        <f>Table13[[#This Row],[Column3]]*Table13[[#This Row],[Column2]]</f>
        <v>15375</v>
      </c>
      <c r="G14" s="15">
        <f>Table13[[#This Row],[Column4]]-Table13[[#This Row],[Column6]]</f>
        <v>0</v>
      </c>
      <c r="H14" s="15">
        <f>41*375</f>
        <v>15375</v>
      </c>
      <c r="I14" s="5" t="s">
        <v>39</v>
      </c>
      <c r="J14" s="47" t="s">
        <v>170</v>
      </c>
    </row>
    <row r="15" spans="2:15" ht="17">
      <c r="B15" s="1" t="s">
        <v>38</v>
      </c>
      <c r="C15" s="15">
        <f>Table13[[#This Row],[Column5]]</f>
        <v>0</v>
      </c>
      <c r="D15" s="22">
        <v>300</v>
      </c>
      <c r="E15" s="5">
        <v>8</v>
      </c>
      <c r="F15" s="15">
        <f>Table13[[#This Row],[Column3]]*Table13[[#This Row],[Column2]]</f>
        <v>2400</v>
      </c>
      <c r="G15" s="24">
        <v>0</v>
      </c>
      <c r="H15" s="15" t="s">
        <v>12</v>
      </c>
    </row>
    <row r="16" spans="2:15" s="10" customFormat="1" ht="17">
      <c r="B16" s="2" t="s">
        <v>30</v>
      </c>
      <c r="C16" s="19">
        <f t="shared" ref="C16:H16" si="0">SUM(C14:C15)</f>
        <v>0</v>
      </c>
      <c r="D16" s="33">
        <f t="shared" si="0"/>
        <v>675</v>
      </c>
      <c r="E16" s="33">
        <f t="shared" si="0"/>
        <v>49</v>
      </c>
      <c r="F16" s="33">
        <f t="shared" si="0"/>
        <v>17775</v>
      </c>
      <c r="G16" s="33">
        <f t="shared" si="0"/>
        <v>0</v>
      </c>
      <c r="H16" s="33">
        <f t="shared" si="0"/>
        <v>15375</v>
      </c>
      <c r="J16" s="5"/>
    </row>
    <row r="17" spans="2:15" ht="17">
      <c r="B17" s="2" t="s">
        <v>28</v>
      </c>
      <c r="C17" s="19">
        <f>C16</f>
        <v>0</v>
      </c>
    </row>
    <row r="18" spans="2:15">
      <c r="B18" s="4"/>
      <c r="C18" s="18"/>
    </row>
    <row r="19" spans="2:15" s="10" customFormat="1" ht="17">
      <c r="B19" s="13" t="s">
        <v>40</v>
      </c>
      <c r="C19" s="1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s="10" customFormat="1" ht="17">
      <c r="B20" s="13" t="s">
        <v>62</v>
      </c>
      <c r="C20" s="18"/>
      <c r="D20" s="28" t="s">
        <v>65</v>
      </c>
      <c r="E20" s="28" t="s">
        <v>66</v>
      </c>
      <c r="F20" s="28" t="s">
        <v>36</v>
      </c>
      <c r="G20" s="24"/>
      <c r="H20" s="24"/>
      <c r="I20" s="24"/>
      <c r="J20" s="5"/>
      <c r="K20" s="5"/>
      <c r="L20" s="5"/>
      <c r="M20" s="5"/>
      <c r="N20" s="5"/>
      <c r="O20" s="5"/>
    </row>
    <row r="21" spans="2:15" s="10" customFormat="1" ht="17">
      <c r="B21" s="25" t="s">
        <v>41</v>
      </c>
      <c r="C21" s="18">
        <f>Table13[[#This Row],[Column5]]</f>
        <v>360</v>
      </c>
      <c r="D21" s="24">
        <v>0.36</v>
      </c>
      <c r="E21" s="24">
        <v>1000</v>
      </c>
      <c r="F21" s="24">
        <f>Table13[[#This Row],[Column3]]*Table13[[#This Row],[Column2]]</f>
        <v>360</v>
      </c>
      <c r="G21" s="24">
        <f>Table13[[#This Row],[Column4]]</f>
        <v>360</v>
      </c>
      <c r="H21" s="24"/>
      <c r="I21" s="24"/>
      <c r="J21" s="5"/>
      <c r="K21" s="5"/>
      <c r="L21" s="5"/>
      <c r="M21" s="5"/>
      <c r="N21" s="5"/>
      <c r="O21" s="5"/>
    </row>
    <row r="22" spans="2:15" s="10" customFormat="1" ht="17">
      <c r="B22" s="25" t="s">
        <v>42</v>
      </c>
      <c r="C22" s="18" t="str">
        <f>Table13[[#This Row],[Column5]]</f>
        <v xml:space="preserve"> </v>
      </c>
      <c r="D22" s="24"/>
      <c r="E22" s="24"/>
      <c r="F22" s="24" t="s">
        <v>12</v>
      </c>
      <c r="G22" s="24" t="str">
        <f>Table13[[#This Row],[Column4]]</f>
        <v xml:space="preserve"> </v>
      </c>
      <c r="H22" s="24"/>
      <c r="I22" s="24"/>
      <c r="J22" s="5"/>
      <c r="K22" s="5"/>
      <c r="L22" s="5"/>
      <c r="M22" s="5"/>
      <c r="N22" s="5"/>
      <c r="O22" s="5"/>
    </row>
    <row r="23" spans="2:15" s="10" customFormat="1" ht="17">
      <c r="B23" s="25" t="s">
        <v>60</v>
      </c>
      <c r="C23" s="18">
        <f>Table13[[#This Row],[Column5]]</f>
        <v>600</v>
      </c>
      <c r="D23" s="24"/>
      <c r="E23" s="24"/>
      <c r="F23" s="24">
        <v>600</v>
      </c>
      <c r="G23" s="24">
        <f>Table13[[#This Row],[Column4]]</f>
        <v>600</v>
      </c>
      <c r="H23" s="24"/>
      <c r="I23" s="24"/>
      <c r="J23" s="5"/>
      <c r="K23" s="5"/>
      <c r="L23" s="5"/>
      <c r="M23" s="5"/>
      <c r="N23" s="5"/>
      <c r="O23" s="5"/>
    </row>
    <row r="24" spans="2:15" s="10" customFormat="1" ht="17">
      <c r="B24" s="25" t="s">
        <v>53</v>
      </c>
      <c r="C24" s="18">
        <f>Table13[[#This Row],[Column5]]</f>
        <v>0</v>
      </c>
      <c r="D24" s="24">
        <v>10</v>
      </c>
      <c r="E24" s="24">
        <v>250</v>
      </c>
      <c r="F24" s="24">
        <f>Table13[[#This Row],[Column2]]*Table13[[#This Row],[Column3]]</f>
        <v>2500</v>
      </c>
      <c r="G24" s="24">
        <v>0</v>
      </c>
      <c r="H24" s="24">
        <f>Table13[[#This Row],[Column4]]</f>
        <v>2500</v>
      </c>
      <c r="I24" s="24" t="s">
        <v>59</v>
      </c>
      <c r="J24" s="5"/>
      <c r="K24" s="5"/>
      <c r="L24" s="5"/>
      <c r="M24" s="5"/>
      <c r="N24" s="5"/>
      <c r="O24" s="5"/>
    </row>
    <row r="25" spans="2:15" s="10" customFormat="1" ht="17">
      <c r="B25" s="25" t="s">
        <v>54</v>
      </c>
      <c r="C25" s="18">
        <f>Table13[[#This Row],[Column5]]</f>
        <v>0</v>
      </c>
      <c r="D25" s="24"/>
      <c r="E25" s="24"/>
      <c r="F25" s="24">
        <v>250</v>
      </c>
      <c r="G25" s="24"/>
      <c r="H25" s="24">
        <f>Table13[[#This Row],[Column4]]</f>
        <v>250</v>
      </c>
      <c r="I25" s="24" t="s">
        <v>57</v>
      </c>
      <c r="J25" s="5"/>
      <c r="K25" s="5"/>
      <c r="L25" s="5"/>
      <c r="M25" s="5"/>
      <c r="N25" s="5"/>
      <c r="O25" s="5"/>
    </row>
    <row r="26" spans="2:15" s="10" customFormat="1" ht="17">
      <c r="B26" s="13" t="s">
        <v>63</v>
      </c>
      <c r="C26" s="18" t="s">
        <v>12</v>
      </c>
      <c r="D26" s="24"/>
      <c r="E26" s="24"/>
      <c r="F26" s="24"/>
      <c r="G26" s="24"/>
      <c r="H26" s="24"/>
      <c r="I26" s="24"/>
      <c r="J26" s="5"/>
      <c r="K26" s="5"/>
      <c r="L26" s="5"/>
      <c r="M26" s="5"/>
      <c r="N26" s="5"/>
      <c r="O26" s="5"/>
    </row>
    <row r="27" spans="2:15" s="10" customFormat="1" ht="17">
      <c r="B27" s="25" t="s">
        <v>43</v>
      </c>
      <c r="C27" s="18">
        <f>Table13[[#This Row],[Column5]]</f>
        <v>200</v>
      </c>
      <c r="D27" s="24">
        <v>40</v>
      </c>
      <c r="E27" s="24">
        <v>5</v>
      </c>
      <c r="F27" s="24">
        <f>Table13[[#This Row],[Column3]]*Table13[[#This Row],[Column2]]</f>
        <v>200</v>
      </c>
      <c r="G27" s="24">
        <f>Table13[[#This Row],[Column4]]</f>
        <v>200</v>
      </c>
      <c r="H27" s="24"/>
      <c r="I27" s="24"/>
      <c r="J27" s="5"/>
      <c r="K27" s="5"/>
      <c r="L27" s="5"/>
      <c r="M27" s="5"/>
      <c r="N27" s="5"/>
      <c r="O27" s="5"/>
    </row>
    <row r="28" spans="2:15" s="10" customFormat="1" ht="17">
      <c r="B28" s="25" t="s">
        <v>44</v>
      </c>
      <c r="C28" s="18">
        <f>Table13[[#This Row],[Column5]]</f>
        <v>160</v>
      </c>
      <c r="D28" s="24">
        <v>40</v>
      </c>
      <c r="E28" s="24">
        <v>4</v>
      </c>
      <c r="F28" s="24">
        <f>Table13[[#This Row],[Column3]]*Table13[[#This Row],[Column2]]</f>
        <v>160</v>
      </c>
      <c r="G28" s="24">
        <f>Table13[[#This Row],[Column4]]</f>
        <v>160</v>
      </c>
      <c r="H28" s="24"/>
      <c r="I28" s="24"/>
      <c r="J28" s="5"/>
      <c r="K28" s="5"/>
      <c r="L28" s="5"/>
      <c r="M28" s="5"/>
      <c r="N28" s="5"/>
      <c r="O28" s="5"/>
    </row>
    <row r="29" spans="2:15" s="10" customFormat="1" ht="17">
      <c r="B29" s="25" t="s">
        <v>46</v>
      </c>
      <c r="C29" s="18">
        <f>Table13[[#This Row],[Column5]]</f>
        <v>80</v>
      </c>
      <c r="D29" s="24">
        <v>40</v>
      </c>
      <c r="E29" s="24">
        <v>2</v>
      </c>
      <c r="F29" s="24">
        <f>Table13[[#This Row],[Column3]]*Table13[[#This Row],[Column2]]</f>
        <v>80</v>
      </c>
      <c r="G29" s="24">
        <f>Table13[[#This Row],[Column4]]</f>
        <v>80</v>
      </c>
      <c r="H29" s="24"/>
      <c r="I29" s="24"/>
      <c r="J29" s="5"/>
      <c r="K29" s="5"/>
      <c r="L29" s="5"/>
      <c r="M29" s="5"/>
      <c r="N29" s="5"/>
      <c r="O29" s="5"/>
    </row>
    <row r="30" spans="2:15" s="10" customFormat="1" ht="17">
      <c r="B30" s="25" t="s">
        <v>61</v>
      </c>
      <c r="C30" s="18">
        <f>Table13[[#This Row],[Column5]]</f>
        <v>120</v>
      </c>
      <c r="D30" s="24">
        <v>40</v>
      </c>
      <c r="E30" s="24">
        <v>3</v>
      </c>
      <c r="F30" s="24">
        <f>Table13[[#This Row],[Column3]]*Table13[[#This Row],[Column2]]</f>
        <v>120</v>
      </c>
      <c r="G30" s="24">
        <f>Table13[[#This Row],[Column4]]</f>
        <v>120</v>
      </c>
      <c r="H30" s="24"/>
      <c r="I30" s="24"/>
      <c r="J30" s="5"/>
      <c r="K30" s="5"/>
      <c r="L30" s="5"/>
      <c r="M30" s="5"/>
      <c r="N30" s="5"/>
      <c r="O30" s="5"/>
    </row>
    <row r="31" spans="2:15" s="10" customFormat="1" ht="17">
      <c r="B31" s="25" t="s">
        <v>45</v>
      </c>
      <c r="C31" s="18">
        <f>Table13[[#This Row],[Column5]]</f>
        <v>0</v>
      </c>
      <c r="D31" s="24"/>
      <c r="E31" s="24"/>
      <c r="F31" s="24">
        <v>50</v>
      </c>
      <c r="G31" s="24">
        <v>0</v>
      </c>
      <c r="H31" s="24">
        <f>Table13[[#This Row],[Column4]]</f>
        <v>50</v>
      </c>
      <c r="I31" s="24"/>
      <c r="J31" s="5"/>
      <c r="K31" s="5"/>
      <c r="L31" s="5"/>
      <c r="M31" s="5"/>
      <c r="N31" s="5"/>
      <c r="O31" s="5"/>
    </row>
    <row r="32" spans="2:15" s="10" customFormat="1" ht="17">
      <c r="B32" s="27" t="s">
        <v>64</v>
      </c>
      <c r="C32" s="18" t="s">
        <v>12</v>
      </c>
      <c r="D32" s="24"/>
      <c r="E32" s="24"/>
      <c r="F32" s="24"/>
      <c r="G32" s="24"/>
      <c r="H32" s="24"/>
      <c r="I32" s="24"/>
      <c r="J32" s="5"/>
      <c r="K32" s="5"/>
      <c r="L32" s="5"/>
      <c r="M32" s="5"/>
      <c r="N32" s="5"/>
      <c r="O32" s="5"/>
    </row>
    <row r="33" spans="2:15" s="10" customFormat="1" ht="17">
      <c r="B33" s="25" t="s">
        <v>47</v>
      </c>
      <c r="C33" s="18">
        <f>Table13[[#This Row],[Column5]]</f>
        <v>0</v>
      </c>
      <c r="D33" s="24"/>
      <c r="E33" s="24"/>
      <c r="F33" s="24">
        <v>750</v>
      </c>
      <c r="G33" s="24">
        <v>0</v>
      </c>
      <c r="H33" s="24">
        <v>750</v>
      </c>
      <c r="I33" s="24" t="s">
        <v>57</v>
      </c>
      <c r="J33" s="5"/>
      <c r="K33" s="5"/>
      <c r="L33" s="5"/>
      <c r="M33" s="5"/>
      <c r="N33" s="5"/>
      <c r="O33" s="5"/>
    </row>
    <row r="34" spans="2:15" s="10" customFormat="1" ht="17">
      <c r="B34" s="25" t="s">
        <v>55</v>
      </c>
      <c r="C34" s="18">
        <f>Table13[[#This Row],[Column5]]</f>
        <v>0</v>
      </c>
      <c r="D34" s="24"/>
      <c r="E34" s="24"/>
      <c r="F34" s="24">
        <v>650</v>
      </c>
      <c r="G34" s="24">
        <v>0</v>
      </c>
      <c r="H34" s="24">
        <v>650</v>
      </c>
      <c r="I34" s="24" t="s">
        <v>58</v>
      </c>
      <c r="J34" s="5"/>
      <c r="K34" s="5"/>
      <c r="L34" s="5"/>
      <c r="M34" s="5"/>
      <c r="N34" s="5"/>
      <c r="O34" s="5"/>
    </row>
    <row r="35" spans="2:15" s="10" customFormat="1" ht="17">
      <c r="B35" s="25" t="s">
        <v>48</v>
      </c>
      <c r="C35" s="18">
        <f>Table13[[#This Row],[Column5]]</f>
        <v>0</v>
      </c>
      <c r="D35" s="24"/>
      <c r="E35" s="24"/>
      <c r="F35" s="24"/>
      <c r="G35" s="24">
        <v>0</v>
      </c>
      <c r="H35" s="24"/>
      <c r="I35" s="24"/>
      <c r="J35" s="5"/>
      <c r="K35" s="5"/>
      <c r="L35" s="5"/>
      <c r="M35" s="5"/>
      <c r="N35" s="5"/>
      <c r="O35" s="5"/>
    </row>
    <row r="36" spans="2:15" s="10" customFormat="1" ht="17">
      <c r="B36" s="25" t="s">
        <v>49</v>
      </c>
      <c r="C36" s="18">
        <f>Table13[[#This Row],[Column5]]</f>
        <v>125</v>
      </c>
      <c r="D36" s="24"/>
      <c r="E36" s="24"/>
      <c r="F36" s="24">
        <v>125</v>
      </c>
      <c r="G36" s="24">
        <v>125</v>
      </c>
      <c r="H36" s="24">
        <v>0</v>
      </c>
      <c r="I36" s="24" t="s">
        <v>12</v>
      </c>
      <c r="J36" s="5"/>
      <c r="K36" s="5"/>
      <c r="L36" s="5"/>
      <c r="M36" s="5"/>
      <c r="N36" s="5"/>
      <c r="O36" s="5"/>
    </row>
    <row r="37" spans="2:15" s="10" customFormat="1" ht="17">
      <c r="B37" s="27" t="s">
        <v>147</v>
      </c>
      <c r="C37" s="18">
        <f>Table13[[#This Row],[Column5]]</f>
        <v>428.6</v>
      </c>
      <c r="D37" s="34">
        <v>21.43</v>
      </c>
      <c r="E37" s="5">
        <v>20</v>
      </c>
      <c r="F37" s="24">
        <f>Table13[[#This Row],[Column3]]*Table13[[#This Row],[Column2]]</f>
        <v>428.6</v>
      </c>
      <c r="G37" s="24">
        <f>Table13[[#This Row],[Column4]]</f>
        <v>428.6</v>
      </c>
      <c r="H37" s="24">
        <v>0</v>
      </c>
      <c r="I37" s="24"/>
      <c r="J37" s="5"/>
      <c r="K37" s="5"/>
      <c r="L37" s="5"/>
      <c r="M37" s="5"/>
      <c r="N37" s="5"/>
      <c r="O37" s="5"/>
    </row>
    <row r="38" spans="2:15" s="10" customFormat="1">
      <c r="B38" s="25"/>
      <c r="C38" s="18"/>
      <c r="D38" s="24"/>
      <c r="E38" s="24"/>
      <c r="F38" s="24"/>
      <c r="G38" s="24"/>
      <c r="H38" s="24"/>
      <c r="I38" s="24"/>
      <c r="J38" s="5"/>
      <c r="K38" s="5"/>
      <c r="L38" s="5"/>
      <c r="M38" s="5"/>
      <c r="N38" s="5"/>
      <c r="O38" s="5"/>
    </row>
    <row r="39" spans="2:15" s="10" customFormat="1" ht="17">
      <c r="B39" s="2" t="s">
        <v>30</v>
      </c>
      <c r="C39" s="19">
        <f>Table13[[#This Row],[Column5]]</f>
        <v>2073.6</v>
      </c>
      <c r="D39" s="28"/>
      <c r="E39" s="28"/>
      <c r="F39" s="28">
        <f>SUM(F21:F36)</f>
        <v>5845</v>
      </c>
      <c r="G39" s="28">
        <f>SUM(G21:G37)</f>
        <v>2073.6</v>
      </c>
      <c r="H39" s="28">
        <f>SUM(H21:H36)</f>
        <v>4200</v>
      </c>
      <c r="I39" s="28"/>
      <c r="J39" s="5"/>
    </row>
    <row r="40" spans="2:15" s="10" customFormat="1">
      <c r="B40" s="26"/>
      <c r="C40" s="18"/>
      <c r="D40" s="24"/>
      <c r="E40" s="24"/>
      <c r="F40" s="24"/>
      <c r="G40" s="24"/>
      <c r="H40" s="24"/>
      <c r="I40" s="24"/>
      <c r="J40" s="5"/>
      <c r="K40" s="5"/>
      <c r="L40" s="5"/>
      <c r="M40" s="5"/>
      <c r="N40" s="5"/>
      <c r="O40" s="5"/>
    </row>
    <row r="41" spans="2:15" s="10" customFormat="1" ht="17">
      <c r="B41" s="27" t="s">
        <v>6</v>
      </c>
      <c r="C41" s="18"/>
      <c r="D41" s="28" t="s">
        <v>65</v>
      </c>
      <c r="E41" s="28" t="s">
        <v>66</v>
      </c>
      <c r="F41" s="28" t="s">
        <v>36</v>
      </c>
      <c r="G41" s="5"/>
      <c r="H41" s="5"/>
      <c r="I41" s="5"/>
      <c r="J41" s="5"/>
      <c r="K41" s="5"/>
      <c r="L41" s="5"/>
      <c r="M41" s="5"/>
      <c r="N41" s="5"/>
      <c r="O41" s="5"/>
    </row>
    <row r="42" spans="2:15" s="10" customFormat="1" ht="17">
      <c r="B42" s="25" t="s">
        <v>52</v>
      </c>
      <c r="C42" s="18">
        <f>Table13[[#This Row],[Column5]]</f>
        <v>240</v>
      </c>
      <c r="D42" s="24">
        <v>80</v>
      </c>
      <c r="E42" s="5">
        <v>3</v>
      </c>
      <c r="F42" s="24">
        <f>Table13[[#This Row],[Column3]]*Table13[[#This Row],[Column2]]</f>
        <v>240</v>
      </c>
      <c r="G42" s="24">
        <f>Table13[[#This Row],[Column4]]</f>
        <v>240</v>
      </c>
      <c r="H42" s="24">
        <v>0</v>
      </c>
      <c r="I42" s="5"/>
      <c r="J42" s="5"/>
      <c r="K42" s="5"/>
      <c r="L42" s="5"/>
      <c r="M42" s="5"/>
      <c r="N42" s="5"/>
      <c r="O42" s="5"/>
    </row>
    <row r="43" spans="2:15" s="10" customFormat="1" ht="17">
      <c r="B43" s="25" t="s">
        <v>51</v>
      </c>
      <c r="C43" s="18">
        <f>Table13[[#This Row],[Column5]]</f>
        <v>50</v>
      </c>
      <c r="D43" s="24">
        <v>100</v>
      </c>
      <c r="E43" s="5">
        <v>1</v>
      </c>
      <c r="F43" s="24">
        <f>Table13[[#This Row],[Column3]]*Table13[[#This Row],[Column2]]</f>
        <v>100</v>
      </c>
      <c r="G43" s="24">
        <v>50</v>
      </c>
      <c r="H43" s="24">
        <v>0</v>
      </c>
      <c r="I43" s="5"/>
      <c r="J43" s="5"/>
      <c r="K43" s="5"/>
      <c r="L43" s="5"/>
      <c r="M43" s="5"/>
      <c r="N43" s="5"/>
      <c r="O43" s="5"/>
    </row>
    <row r="44" spans="2:15" s="10" customFormat="1" ht="17">
      <c r="B44" s="2" t="s">
        <v>29</v>
      </c>
      <c r="C44" s="19">
        <f>Table13[[#This Row],[Column5]]</f>
        <v>290</v>
      </c>
      <c r="F44" s="29">
        <f>SUM(F42:F43)</f>
        <v>340</v>
      </c>
      <c r="G44" s="29">
        <f>SUM(G42:G43)</f>
        <v>290</v>
      </c>
      <c r="H44" s="29">
        <f>SUM(H42:H43)</f>
        <v>0</v>
      </c>
      <c r="J44" s="5"/>
    </row>
    <row r="45" spans="2:15" s="10" customFormat="1" ht="17">
      <c r="B45" s="2" t="s">
        <v>28</v>
      </c>
      <c r="C45" s="19">
        <f>C39+C44</f>
        <v>2363.6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s="10" customFormat="1">
      <c r="B46" s="25"/>
      <c r="C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s="10" customFormat="1" ht="17">
      <c r="B47" s="27" t="s">
        <v>68</v>
      </c>
      <c r="C47" s="18"/>
      <c r="D47" s="28" t="s">
        <v>65</v>
      </c>
      <c r="E47" s="28" t="s">
        <v>66</v>
      </c>
      <c r="F47" s="28" t="s">
        <v>36</v>
      </c>
      <c r="G47" s="5"/>
      <c r="H47" s="5"/>
      <c r="I47" s="5"/>
      <c r="J47" s="5"/>
      <c r="K47" s="5"/>
      <c r="L47" s="5"/>
      <c r="M47" s="5"/>
      <c r="N47" s="5"/>
      <c r="O47" s="5"/>
    </row>
    <row r="48" spans="2:15" s="10" customFormat="1" ht="17">
      <c r="B48" s="1" t="s">
        <v>130</v>
      </c>
      <c r="C48" s="18">
        <f>Table13[[#This Row],[Column5]]</f>
        <v>0</v>
      </c>
      <c r="D48" s="24">
        <v>40</v>
      </c>
      <c r="E48" s="24">
        <v>30</v>
      </c>
      <c r="F48" s="24">
        <f>Table13[[#This Row],[Column3]]*Table13[[#This Row],[Column2]]</f>
        <v>1200</v>
      </c>
      <c r="G48" s="24">
        <v>0</v>
      </c>
      <c r="H48" s="24"/>
      <c r="I48" s="5"/>
      <c r="J48" s="5"/>
      <c r="K48" s="5"/>
      <c r="L48" s="5"/>
      <c r="M48" s="5"/>
      <c r="N48" s="5"/>
      <c r="O48" s="5"/>
    </row>
    <row r="49" spans="2:15" s="10" customFormat="1" ht="17">
      <c r="B49" s="25" t="s">
        <v>69</v>
      </c>
      <c r="C49" s="18">
        <f>Table13[[#This Row],[Column5]]</f>
        <v>0</v>
      </c>
      <c r="D49" s="24">
        <v>750</v>
      </c>
      <c r="E49" s="24">
        <v>1</v>
      </c>
      <c r="F49" s="24">
        <f>Table13[[#This Row],[Column3]]*Table13[[#This Row],[Column2]]</f>
        <v>750</v>
      </c>
      <c r="G49" s="24">
        <v>0</v>
      </c>
      <c r="H49" s="24"/>
      <c r="I49" s="5"/>
      <c r="J49" s="5"/>
      <c r="K49" s="5"/>
      <c r="L49" s="5"/>
      <c r="M49" s="5"/>
      <c r="N49" s="5"/>
      <c r="O49" s="5"/>
    </row>
    <row r="50" spans="2:15" s="10" customFormat="1" ht="34">
      <c r="B50" s="25" t="s">
        <v>171</v>
      </c>
      <c r="C50" s="15">
        <f>Table13[[#This Row],[Column5]]</f>
        <v>1320</v>
      </c>
      <c r="D50" s="23">
        <v>40</v>
      </c>
      <c r="E50" s="24">
        <v>33</v>
      </c>
      <c r="F50" s="24">
        <f>Table13[[#This Row],[Column3]]*Table13[[#This Row],[Column2]]</f>
        <v>1320</v>
      </c>
      <c r="G50" s="24">
        <f>Table13[[#This Row],[Column4]]</f>
        <v>1320</v>
      </c>
      <c r="H50" s="24"/>
      <c r="I50" s="5"/>
      <c r="J50" s="47" t="s">
        <v>172</v>
      </c>
      <c r="K50" s="5"/>
      <c r="L50" s="5"/>
      <c r="M50" s="5"/>
      <c r="N50" s="5"/>
      <c r="O50" s="5"/>
    </row>
    <row r="51" spans="2:15" s="10" customFormat="1" ht="17">
      <c r="B51" s="2" t="s">
        <v>30</v>
      </c>
      <c r="C51" s="19">
        <f>SUM(C48:C50)</f>
        <v>1320</v>
      </c>
      <c r="D51" s="28"/>
      <c r="E51" s="28"/>
      <c r="G51" s="28">
        <f>SUM(G48:G50)</f>
        <v>1320</v>
      </c>
      <c r="H51" s="28"/>
      <c r="J51" s="5"/>
    </row>
    <row r="52" spans="2:15" s="10" customFormat="1" ht="17">
      <c r="B52" s="2" t="s">
        <v>28</v>
      </c>
      <c r="C52" s="19">
        <f>C51</f>
        <v>1320</v>
      </c>
      <c r="D52" s="24"/>
      <c r="E52" s="24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s="10" customFormat="1">
      <c r="C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5" ht="17">
      <c r="B54" s="10" t="s">
        <v>9</v>
      </c>
      <c r="C54" s="16">
        <f>C51+C39+C16+C8</f>
        <v>10393.6</v>
      </c>
    </row>
    <row r="55" spans="2:15" ht="17">
      <c r="B55" s="10" t="s">
        <v>10</v>
      </c>
      <c r="C55" s="16">
        <f>C44+C10</f>
        <v>490</v>
      </c>
      <c r="D55" s="1" t="s">
        <v>13</v>
      </c>
    </row>
    <row r="56" spans="2:15" ht="17">
      <c r="B56" s="14" t="s">
        <v>70</v>
      </c>
      <c r="C56" s="19">
        <f>SUM(C54:C55)</f>
        <v>10883.6</v>
      </c>
      <c r="D56" s="24">
        <f>C52+C45+C17+C11</f>
        <v>10883.6</v>
      </c>
    </row>
    <row r="57" spans="2:15">
      <c r="B57" s="14"/>
      <c r="D57" s="12"/>
    </row>
    <row r="58" spans="2:15" ht="17">
      <c r="B58" s="10" t="s">
        <v>32</v>
      </c>
      <c r="C58" s="16">
        <v>165000</v>
      </c>
    </row>
    <row r="59" spans="2:15" ht="17">
      <c r="B59" s="10" t="s">
        <v>31</v>
      </c>
      <c r="C59" s="20">
        <f>C56/C58</f>
        <v>6.5961212121212129E-2</v>
      </c>
    </row>
    <row r="62" spans="2:15" ht="68">
      <c r="B62" s="47" t="s">
        <v>142</v>
      </c>
    </row>
    <row r="66" spans="2:2" ht="17">
      <c r="B66" s="5" t="s">
        <v>12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6B133-7A17-CC49-8DBF-07B2FF158732}">
  <dimension ref="B1:I30"/>
  <sheetViews>
    <sheetView topLeftCell="A23" workbookViewId="0">
      <selection activeCell="C28" sqref="C28"/>
    </sheetView>
  </sheetViews>
  <sheetFormatPr baseColWidth="10" defaultColWidth="8.83203125" defaultRowHeight="16"/>
  <cols>
    <col min="1" max="1" width="2" style="5" customWidth="1"/>
    <col min="2" max="2" width="48.1640625" style="5" customWidth="1"/>
    <col min="3" max="3" width="17.83203125" style="15" customWidth="1"/>
    <col min="4" max="4" width="15.5" style="5" customWidth="1"/>
    <col min="5" max="5" width="11.1640625" style="5" customWidth="1"/>
    <col min="6" max="6" width="9.6640625" style="5" customWidth="1"/>
    <col min="7" max="7" width="13.83203125" style="5" customWidth="1"/>
    <col min="8" max="8" width="20.83203125" style="5" customWidth="1"/>
    <col min="9" max="9" width="16.6640625" style="5" customWidth="1"/>
    <col min="10" max="10" width="8.83203125" style="5"/>
    <col min="11" max="11" width="21" style="5" customWidth="1"/>
    <col min="12" max="16384" width="8.83203125" style="5"/>
  </cols>
  <sheetData>
    <row r="1" spans="2:9" ht="62">
      <c r="B1" s="6" t="s">
        <v>113</v>
      </c>
      <c r="C1" s="15" t="s">
        <v>21</v>
      </c>
      <c r="D1" s="5" t="s">
        <v>22</v>
      </c>
      <c r="E1" s="5" t="s">
        <v>23</v>
      </c>
      <c r="F1" s="5" t="s">
        <v>24</v>
      </c>
      <c r="G1" s="5" t="s">
        <v>25</v>
      </c>
      <c r="H1" s="5" t="s">
        <v>26</v>
      </c>
      <c r="I1" s="5" t="s">
        <v>27</v>
      </c>
    </row>
    <row r="2" spans="2:9" ht="17">
      <c r="B2" s="7"/>
      <c r="C2" s="16" t="s">
        <v>76</v>
      </c>
      <c r="D2" s="9" t="s">
        <v>12</v>
      </c>
      <c r="E2" s="9"/>
      <c r="F2" s="9"/>
      <c r="G2" s="9" t="s">
        <v>15</v>
      </c>
      <c r="H2" s="9" t="s">
        <v>16</v>
      </c>
      <c r="I2" s="9" t="s">
        <v>56</v>
      </c>
    </row>
    <row r="3" spans="2:9" ht="17">
      <c r="B3" s="10" t="s">
        <v>20</v>
      </c>
      <c r="C3" s="15" t="s">
        <v>12</v>
      </c>
      <c r="D3" s="5" t="s">
        <v>65</v>
      </c>
      <c r="E3" s="5" t="s">
        <v>66</v>
      </c>
      <c r="F3" s="5" t="s">
        <v>77</v>
      </c>
    </row>
    <row r="4" spans="2:9" s="10" customFormat="1">
      <c r="B4" s="13"/>
      <c r="C4" s="17"/>
    </row>
    <row r="5" spans="2:9" s="10" customFormat="1" ht="34">
      <c r="B5" s="13" t="s">
        <v>115</v>
      </c>
      <c r="C5" s="17"/>
    </row>
    <row r="6" spans="2:9" ht="29">
      <c r="B6" s="35" t="s">
        <v>114</v>
      </c>
      <c r="C6" s="15">
        <f>Table146[[#This Row],[Column5]]</f>
        <v>5000</v>
      </c>
      <c r="D6" s="44">
        <v>50</v>
      </c>
      <c r="E6" s="45">
        <v>100</v>
      </c>
      <c r="F6" s="24">
        <f>Table146[[#This Row],[Column3]]*Table146[[#This Row],[Column2]]</f>
        <v>5000</v>
      </c>
      <c r="G6" s="24">
        <f>Table146[[#This Row],[Column4]]</f>
        <v>5000</v>
      </c>
      <c r="H6" s="24" t="s">
        <v>12</v>
      </c>
      <c r="I6" s="5" t="s">
        <v>12</v>
      </c>
    </row>
    <row r="7" spans="2:9">
      <c r="B7" s="35"/>
      <c r="D7" s="42"/>
      <c r="E7" s="43"/>
      <c r="F7" s="24"/>
      <c r="G7" s="24"/>
      <c r="H7" s="24"/>
    </row>
    <row r="8" spans="2:9" ht="17">
      <c r="B8" s="13" t="s">
        <v>116</v>
      </c>
      <c r="C8" s="15" t="s">
        <v>12</v>
      </c>
      <c r="D8" s="24" t="s">
        <v>12</v>
      </c>
      <c r="E8" s="5" t="s">
        <v>12</v>
      </c>
      <c r="F8" s="24" t="s">
        <v>12</v>
      </c>
      <c r="G8" s="24" t="s">
        <v>12</v>
      </c>
      <c r="H8" s="24"/>
    </row>
    <row r="9" spans="2:9" ht="17">
      <c r="B9" s="41" t="s">
        <v>117</v>
      </c>
      <c r="C9" s="15" t="s">
        <v>12</v>
      </c>
      <c r="D9" s="24" t="s">
        <v>12</v>
      </c>
      <c r="E9" s="5" t="s">
        <v>12</v>
      </c>
      <c r="F9" s="24" t="s">
        <v>12</v>
      </c>
      <c r="G9" s="24" t="str">
        <f>Table146[[#This Row],[Column4]]</f>
        <v xml:space="preserve"> </v>
      </c>
      <c r="H9" s="24"/>
    </row>
    <row r="10" spans="2:9" ht="51">
      <c r="B10" s="41" t="s">
        <v>118</v>
      </c>
      <c r="C10" s="15">
        <f>Table146[[#This Row],[Column5]]</f>
        <v>10000</v>
      </c>
      <c r="D10" s="34">
        <v>5000</v>
      </c>
      <c r="E10" s="5">
        <v>2</v>
      </c>
      <c r="F10" s="24">
        <f>Table146[[#This Row],[Column3]]*Table146[[#This Row],[Column2]]</f>
        <v>10000</v>
      </c>
      <c r="G10" s="24">
        <f>Table146[[#This Row],[Column4]]</f>
        <v>10000</v>
      </c>
      <c r="H10" s="24"/>
      <c r="I10" s="5" t="s">
        <v>182</v>
      </c>
    </row>
    <row r="11" spans="2:9" ht="17">
      <c r="B11" s="35" t="s">
        <v>12</v>
      </c>
      <c r="C11" s="15" t="str">
        <f>Table146[[#This Row],[Column5]]</f>
        <v xml:space="preserve"> </v>
      </c>
      <c r="D11" s="34" t="s">
        <v>12</v>
      </c>
      <c r="E11" s="5" t="s">
        <v>12</v>
      </c>
      <c r="F11" s="24" t="s">
        <v>12</v>
      </c>
      <c r="G11" s="24" t="str">
        <f>Table146[[#This Row],[Column4]]</f>
        <v xml:space="preserve"> </v>
      </c>
      <c r="H11" s="24"/>
    </row>
    <row r="12" spans="2:9" ht="17">
      <c r="B12" s="3" t="s">
        <v>30</v>
      </c>
      <c r="C12" s="16">
        <f>SUM(C6:C11)</f>
        <v>15000</v>
      </c>
      <c r="D12" s="34"/>
      <c r="F12" s="24"/>
      <c r="G12" s="24"/>
      <c r="H12" s="24"/>
    </row>
    <row r="13" spans="2:9" ht="17">
      <c r="B13" s="38" t="s">
        <v>12</v>
      </c>
      <c r="D13" s="34"/>
      <c r="F13" s="24"/>
      <c r="G13" s="16" t="s">
        <v>12</v>
      </c>
      <c r="H13" s="24"/>
    </row>
    <row r="14" spans="2:9">
      <c r="B14" s="38"/>
      <c r="C14" s="16"/>
      <c r="D14" s="34"/>
      <c r="F14" s="24"/>
      <c r="G14" s="24"/>
      <c r="H14" s="24"/>
    </row>
    <row r="15" spans="2:9">
      <c r="B15" s="2"/>
      <c r="D15" s="15"/>
      <c r="E15" s="15"/>
      <c r="F15" s="15"/>
      <c r="G15" s="24"/>
      <c r="H15" s="24"/>
    </row>
    <row r="16" spans="2:9" ht="17">
      <c r="B16" s="13" t="s">
        <v>119</v>
      </c>
      <c r="C16" s="19" t="s">
        <v>12</v>
      </c>
      <c r="D16" s="1" t="s">
        <v>120</v>
      </c>
      <c r="E16" s="10"/>
      <c r="F16" s="10"/>
      <c r="G16" s="10"/>
      <c r="H16" s="10"/>
      <c r="I16" s="10"/>
    </row>
    <row r="17" spans="2:9" ht="17">
      <c r="B17" s="10" t="s">
        <v>9</v>
      </c>
      <c r="C17" s="16">
        <f>C12</f>
        <v>15000</v>
      </c>
      <c r="D17" s="31">
        <f>C10+C6</f>
        <v>15000</v>
      </c>
    </row>
    <row r="18" spans="2:9">
      <c r="B18" s="13"/>
      <c r="C18" s="16"/>
      <c r="D18" s="12"/>
    </row>
    <row r="19" spans="2:9" ht="17">
      <c r="B19" s="10" t="s">
        <v>32</v>
      </c>
      <c r="C19" s="15">
        <v>165000</v>
      </c>
    </row>
    <row r="20" spans="2:9" ht="17">
      <c r="B20" s="10" t="s">
        <v>31</v>
      </c>
      <c r="C20" s="20">
        <f>C17/C19</f>
        <v>9.0909090909090912E-2</v>
      </c>
    </row>
    <row r="23" spans="2:9" ht="34">
      <c r="B23" s="10" t="s">
        <v>186</v>
      </c>
      <c r="C23" s="16" t="s">
        <v>190</v>
      </c>
      <c r="D23" s="10" t="s">
        <v>191</v>
      </c>
      <c r="E23" s="10" t="s">
        <v>192</v>
      </c>
    </row>
    <row r="24" spans="2:9" ht="34">
      <c r="C24" s="15" t="s">
        <v>178</v>
      </c>
      <c r="D24" s="5" t="s">
        <v>131</v>
      </c>
      <c r="E24" s="5" t="s">
        <v>136</v>
      </c>
    </row>
    <row r="25" spans="2:9" ht="17">
      <c r="C25" s="15" t="s">
        <v>137</v>
      </c>
      <c r="D25" s="5" t="s">
        <v>131</v>
      </c>
      <c r="E25" s="5" t="s">
        <v>136</v>
      </c>
    </row>
    <row r="26" spans="2:9" ht="34">
      <c r="C26" s="15" t="s">
        <v>203</v>
      </c>
      <c r="D26" s="5" t="s">
        <v>132</v>
      </c>
      <c r="E26" s="5" t="s">
        <v>136</v>
      </c>
    </row>
    <row r="27" spans="2:9" ht="17">
      <c r="C27" s="15" t="s">
        <v>134</v>
      </c>
      <c r="D27" s="5" t="s">
        <v>133</v>
      </c>
      <c r="E27" s="5" t="s">
        <v>135</v>
      </c>
    </row>
    <row r="28" spans="2:9" s="10" customFormat="1" ht="51">
      <c r="B28" s="5"/>
      <c r="C28" s="15" t="s">
        <v>187</v>
      </c>
      <c r="D28" s="5" t="s">
        <v>138</v>
      </c>
      <c r="E28" s="5" t="s">
        <v>139</v>
      </c>
      <c r="F28" s="5"/>
      <c r="G28" s="5"/>
      <c r="H28" s="5"/>
      <c r="I28" s="5"/>
    </row>
    <row r="29" spans="2:9" ht="34">
      <c r="C29" s="15" t="s">
        <v>188</v>
      </c>
      <c r="D29" s="5" t="s">
        <v>168</v>
      </c>
      <c r="E29" s="5" t="s">
        <v>169</v>
      </c>
    </row>
    <row r="30" spans="2:9" ht="51">
      <c r="C30" s="15" t="s">
        <v>189</v>
      </c>
      <c r="D30" s="5" t="s">
        <v>168</v>
      </c>
      <c r="E30" s="5" t="s">
        <v>169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J47"/>
  <sheetViews>
    <sheetView showGridLines="0" zoomScale="90" zoomScaleNormal="90" zoomScalePageLayoutView="90" workbookViewId="0">
      <pane xSplit="2" ySplit="3" topLeftCell="C9" activePane="bottomRight" state="frozen"/>
      <selection pane="topRight" activeCell="C1" sqref="C1"/>
      <selection pane="bottomLeft" activeCell="A5" sqref="A5"/>
      <selection pane="bottomRight" activeCell="C28" sqref="C28"/>
    </sheetView>
  </sheetViews>
  <sheetFormatPr baseColWidth="10" defaultColWidth="8.83203125" defaultRowHeight="16"/>
  <cols>
    <col min="1" max="1" width="2" style="5" customWidth="1"/>
    <col min="2" max="2" width="48.1640625" style="5" customWidth="1"/>
    <col min="3" max="3" width="17.83203125" style="15" customWidth="1"/>
    <col min="4" max="4" width="15.5" style="5" customWidth="1"/>
    <col min="5" max="5" width="11.1640625" style="5" customWidth="1"/>
    <col min="6" max="6" width="9.6640625" style="5" customWidth="1"/>
    <col min="7" max="7" width="13.83203125" style="5" customWidth="1"/>
    <col min="8" max="8" width="20.83203125" style="5" customWidth="1"/>
    <col min="9" max="9" width="16.6640625" style="5" customWidth="1"/>
    <col min="10" max="16384" width="8.83203125" style="5"/>
  </cols>
  <sheetData>
    <row r="1" spans="2:10" ht="62">
      <c r="B1" s="6" t="s">
        <v>79</v>
      </c>
      <c r="C1" s="15" t="s">
        <v>21</v>
      </c>
      <c r="D1" s="5" t="s">
        <v>22</v>
      </c>
      <c r="E1" s="5" t="s">
        <v>23</v>
      </c>
      <c r="F1" s="5" t="s">
        <v>24</v>
      </c>
      <c r="G1" s="5" t="s">
        <v>25</v>
      </c>
      <c r="H1" s="5" t="s">
        <v>26</v>
      </c>
      <c r="I1" s="5" t="s">
        <v>27</v>
      </c>
      <c r="J1" s="5" t="s">
        <v>149</v>
      </c>
    </row>
    <row r="2" spans="2:10" ht="17">
      <c r="B2" s="7"/>
      <c r="C2" s="16" t="s">
        <v>76</v>
      </c>
      <c r="D2" s="9" t="s">
        <v>12</v>
      </c>
      <c r="E2" s="9"/>
      <c r="F2" s="9"/>
      <c r="G2" s="9" t="s">
        <v>15</v>
      </c>
      <c r="H2" s="9" t="s">
        <v>16</v>
      </c>
      <c r="I2" s="9" t="s">
        <v>56</v>
      </c>
    </row>
    <row r="3" spans="2:10" ht="17">
      <c r="B3" s="10" t="s">
        <v>20</v>
      </c>
      <c r="C3" s="15" t="s">
        <v>12</v>
      </c>
      <c r="D3" s="5" t="s">
        <v>65</v>
      </c>
      <c r="E3" s="5" t="s">
        <v>66</v>
      </c>
      <c r="F3" s="5" t="s">
        <v>77</v>
      </c>
    </row>
    <row r="4" spans="2:10" s="10" customFormat="1" ht="17">
      <c r="B4" s="13" t="s">
        <v>0</v>
      </c>
      <c r="C4" s="17">
        <f>C12/C28</f>
        <v>0.67469220686272147</v>
      </c>
      <c r="J4" s="5"/>
    </row>
    <row r="5" spans="2:10" ht="34">
      <c r="B5" s="1" t="s">
        <v>1</v>
      </c>
      <c r="C5" s="15">
        <f>Table1[[#This Row],[Column5]]</f>
        <v>10180</v>
      </c>
      <c r="D5" s="24">
        <v>20</v>
      </c>
      <c r="E5" s="5">
        <v>600</v>
      </c>
      <c r="F5" s="24">
        <f>Table1[[#This Row],[Column3]]*Table1[[#This Row],[Column2]]</f>
        <v>12000</v>
      </c>
      <c r="G5" s="24">
        <v>10180</v>
      </c>
      <c r="H5" s="24">
        <f>Table1[[#This Row],[Column4]]-Table1[[#This Row],[Column1]]</f>
        <v>1820</v>
      </c>
      <c r="I5" s="5" t="s">
        <v>78</v>
      </c>
    </row>
    <row r="6" spans="2:10" ht="34">
      <c r="B6" s="1" t="s">
        <v>2</v>
      </c>
      <c r="C6" s="15">
        <f>Table1[[#This Row],[Column5]]</f>
        <v>2000</v>
      </c>
      <c r="D6" s="24">
        <v>20</v>
      </c>
      <c r="E6" s="5">
        <v>100</v>
      </c>
      <c r="F6" s="24">
        <f>Table1[[#This Row],[Column3]]*Table1[[#This Row],[Column2]]</f>
        <v>2000</v>
      </c>
      <c r="G6" s="24">
        <v>2000</v>
      </c>
      <c r="H6" s="24" t="s">
        <v>12</v>
      </c>
      <c r="I6" s="67" t="s">
        <v>211</v>
      </c>
    </row>
    <row r="7" spans="2:10">
      <c r="B7" s="1"/>
      <c r="D7" s="24"/>
      <c r="F7" s="24"/>
      <c r="G7" s="24"/>
      <c r="H7" s="24"/>
    </row>
    <row r="8" spans="2:10" ht="17">
      <c r="B8" s="2" t="s">
        <v>30</v>
      </c>
      <c r="C8" s="18">
        <f>SUM(C5:C6)</f>
        <v>12180</v>
      </c>
      <c r="D8" s="24"/>
      <c r="F8" s="24"/>
      <c r="G8" s="24"/>
      <c r="H8" s="24"/>
    </row>
    <row r="9" spans="2:10" ht="34">
      <c r="B9" s="1" t="s">
        <v>4</v>
      </c>
      <c r="C9" s="15">
        <f>Table1[[#This Row],[Column5]]</f>
        <v>3400</v>
      </c>
      <c r="D9" s="24">
        <v>20</v>
      </c>
      <c r="E9" s="5">
        <f>20*6*2</f>
        <v>240</v>
      </c>
      <c r="F9" s="24">
        <f>Table1[[#This Row],[Column2]]*Table1[[#This Row],[Column3]]</f>
        <v>4800</v>
      </c>
      <c r="G9" s="24">
        <v>3400</v>
      </c>
      <c r="H9" s="24">
        <f>Table1[[#This Row],[Column4]]-Table1[[#This Row],[Column5]]</f>
        <v>1400</v>
      </c>
      <c r="J9" s="5" t="s">
        <v>151</v>
      </c>
    </row>
    <row r="10" spans="2:10" ht="34">
      <c r="B10" s="1" t="s">
        <v>3</v>
      </c>
      <c r="C10" s="15">
        <f>Table1[[#This Row],[Column5]]</f>
        <v>1200</v>
      </c>
      <c r="D10" s="24">
        <v>20</v>
      </c>
      <c r="E10" s="5">
        <v>60</v>
      </c>
      <c r="F10" s="24">
        <f>Table1[[#This Row],[Column2]]*Table1[[#This Row],[Column3]]</f>
        <v>1200</v>
      </c>
      <c r="G10" s="24">
        <f>Table1[[#This Row],[Column4]]</f>
        <v>1200</v>
      </c>
      <c r="I10" s="67" t="s">
        <v>210</v>
      </c>
      <c r="J10" s="5" t="s">
        <v>150</v>
      </c>
    </row>
    <row r="11" spans="2:10" ht="17">
      <c r="B11" s="2" t="s">
        <v>29</v>
      </c>
      <c r="C11" s="19">
        <f>SUM(C9:C10)</f>
        <v>4600</v>
      </c>
    </row>
    <row r="12" spans="2:10" ht="17">
      <c r="B12" s="2" t="s">
        <v>28</v>
      </c>
      <c r="C12" s="19">
        <f>C8+C11</f>
        <v>16780</v>
      </c>
      <c r="F12" s="29">
        <f>SUM(F5:F10)</f>
        <v>20000</v>
      </c>
      <c r="G12" s="29">
        <f>SUM(G5:G10)</f>
        <v>16780</v>
      </c>
      <c r="H12" s="29">
        <f>SUM(H5:H10)</f>
        <v>3220</v>
      </c>
    </row>
    <row r="13" spans="2:10">
      <c r="B13" s="4"/>
      <c r="C13" s="18"/>
    </row>
    <row r="14" spans="2:10" s="10" customFormat="1" ht="17">
      <c r="B14" s="13" t="s">
        <v>5</v>
      </c>
      <c r="C14" s="17" t="s">
        <v>12</v>
      </c>
      <c r="D14" s="5" t="s">
        <v>65</v>
      </c>
      <c r="E14" s="5" t="s">
        <v>66</v>
      </c>
      <c r="F14" s="5" t="s">
        <v>77</v>
      </c>
      <c r="J14" s="5"/>
    </row>
    <row r="15" spans="2:10" ht="85">
      <c r="B15" s="1" t="s">
        <v>18</v>
      </c>
      <c r="C15" s="15">
        <f>Table1[[#This Row],[Column5]]</f>
        <v>4104</v>
      </c>
      <c r="D15" s="11">
        <v>57</v>
      </c>
      <c r="E15" s="5">
        <f>6*12</f>
        <v>72</v>
      </c>
      <c r="F15" s="24">
        <f>Table1[[#This Row],[Column3]]*Table1[[#This Row],[Column2]]</f>
        <v>4104</v>
      </c>
      <c r="G15" s="24">
        <f>Table1[[#This Row],[Column4]]</f>
        <v>4104</v>
      </c>
      <c r="H15" s="24"/>
      <c r="I15" s="5" t="s">
        <v>152</v>
      </c>
    </row>
    <row r="16" spans="2:10" ht="17">
      <c r="B16" s="1" t="s">
        <v>14</v>
      </c>
      <c r="C16" s="15">
        <f>Table1[[#This Row],[Column5]]</f>
        <v>135</v>
      </c>
      <c r="D16" s="11">
        <v>15</v>
      </c>
      <c r="E16" s="5">
        <v>9</v>
      </c>
      <c r="F16" s="24">
        <f>Table1[[#This Row],[Column3]]*Table1[[#This Row],[Column2]]</f>
        <v>135</v>
      </c>
      <c r="G16" s="24">
        <f>Table1[[#This Row],[Column4]]</f>
        <v>135</v>
      </c>
      <c r="H16" s="24"/>
    </row>
    <row r="17" spans="2:10" ht="17">
      <c r="B17" s="1" t="s">
        <v>154</v>
      </c>
      <c r="C17" s="15">
        <f>Table1[[#This Row],[Column5]]</f>
        <v>180</v>
      </c>
      <c r="D17" s="11">
        <v>15</v>
      </c>
      <c r="E17" s="5">
        <v>12</v>
      </c>
      <c r="F17" s="24">
        <f>Table1[[#This Row],[Column3]]*Table1[[#This Row],[Column2]]</f>
        <v>180</v>
      </c>
      <c r="G17" s="24">
        <f>Table1[[#This Row],[Column4]]</f>
        <v>180</v>
      </c>
      <c r="H17" s="24"/>
    </row>
    <row r="18" spans="2:10" ht="17">
      <c r="B18" s="1" t="s">
        <v>17</v>
      </c>
      <c r="C18" s="15">
        <f>Table1[[#This Row],[Column5]]</f>
        <v>2571.6</v>
      </c>
      <c r="D18" s="11">
        <v>21.43</v>
      </c>
      <c r="E18" s="5">
        <v>120</v>
      </c>
      <c r="F18" s="24">
        <f>Table1[[#This Row],[Column3]]*Table1[[#This Row],[Column2]]</f>
        <v>2571.6</v>
      </c>
      <c r="G18" s="24">
        <f>Table1[[#This Row],[Column4]]</f>
        <v>2571.6</v>
      </c>
      <c r="H18" s="24"/>
    </row>
    <row r="19" spans="2:10" ht="17">
      <c r="B19" s="1" t="s">
        <v>19</v>
      </c>
      <c r="C19" s="15">
        <f>Table1[[#This Row],[Column5]]</f>
        <v>600</v>
      </c>
      <c r="D19" s="24">
        <v>100</v>
      </c>
      <c r="E19" s="5">
        <v>6</v>
      </c>
      <c r="F19" s="24">
        <f>Table1[[#This Row],[Column2]]*Table1[[#This Row],[Column3]]</f>
        <v>600</v>
      </c>
      <c r="G19" s="24">
        <f>Table1[[#This Row],[Column4]]</f>
        <v>600</v>
      </c>
      <c r="H19" s="24"/>
    </row>
    <row r="20" spans="2:10" ht="17">
      <c r="B20" s="2" t="s">
        <v>30</v>
      </c>
      <c r="C20" s="19">
        <f>SUM(C15:C19)</f>
        <v>7590.6</v>
      </c>
    </row>
    <row r="21" spans="2:10" ht="68">
      <c r="B21" s="1" t="s">
        <v>7</v>
      </c>
      <c r="C21" s="15">
        <f>Table1[[#This Row],[Column5]]</f>
        <v>500</v>
      </c>
      <c r="D21" s="24">
        <v>500</v>
      </c>
      <c r="E21" s="5">
        <v>1</v>
      </c>
      <c r="F21" s="24">
        <f>Table1[[#This Row],[Column2]]*Table1[[#This Row],[Column3]]</f>
        <v>500</v>
      </c>
      <c r="G21" s="24">
        <f>Table1[[#This Row],[Column4]]</f>
        <v>500</v>
      </c>
      <c r="H21" s="5" t="s">
        <v>212</v>
      </c>
    </row>
    <row r="22" spans="2:10" ht="17">
      <c r="B22" s="2" t="s">
        <v>29</v>
      </c>
      <c r="C22" s="19">
        <f>SUM(C21:C21)</f>
        <v>500</v>
      </c>
    </row>
    <row r="23" spans="2:10" ht="17">
      <c r="B23" s="2" t="s">
        <v>28</v>
      </c>
      <c r="C23" s="19">
        <f>C20+C22</f>
        <v>8090.6</v>
      </c>
    </row>
    <row r="25" spans="2:10" s="10" customFormat="1" ht="17">
      <c r="B25" s="13" t="s">
        <v>11</v>
      </c>
      <c r="C25" s="19"/>
      <c r="J25" s="5"/>
    </row>
    <row r="26" spans="2:10" ht="17">
      <c r="B26" s="10" t="s">
        <v>9</v>
      </c>
      <c r="C26" s="16">
        <f>C8+C20</f>
        <v>19770.599999999999</v>
      </c>
    </row>
    <row r="27" spans="2:10" ht="17">
      <c r="B27" s="10" t="s">
        <v>10</v>
      </c>
      <c r="C27" s="16">
        <f>C11+C22</f>
        <v>5100</v>
      </c>
      <c r="D27" s="1" t="s">
        <v>13</v>
      </c>
    </row>
    <row r="28" spans="2:10" ht="17">
      <c r="B28" s="14" t="s">
        <v>8</v>
      </c>
      <c r="C28" s="19">
        <f>SUM(C26:C27)</f>
        <v>24870.6</v>
      </c>
      <c r="D28" s="39">
        <f>C12+C23</f>
        <v>24870.6</v>
      </c>
    </row>
    <row r="29" spans="2:10">
      <c r="B29" s="14"/>
      <c r="D29" s="12"/>
    </row>
    <row r="30" spans="2:10" ht="17">
      <c r="B30" s="10" t="s">
        <v>32</v>
      </c>
      <c r="C30" s="15">
        <v>165000</v>
      </c>
    </row>
    <row r="31" spans="2:10" ht="17">
      <c r="B31" s="10" t="s">
        <v>31</v>
      </c>
      <c r="C31" s="20">
        <f>C28/C30</f>
        <v>0.15073090909090908</v>
      </c>
    </row>
    <row r="35" spans="2:10" ht="17">
      <c r="B35" s="5" t="s">
        <v>12</v>
      </c>
    </row>
    <row r="41" spans="2:10">
      <c r="G41"/>
      <c r="H41"/>
      <c r="I41"/>
      <c r="J41"/>
    </row>
    <row r="42" spans="2:10">
      <c r="G42"/>
      <c r="H42"/>
      <c r="I42"/>
      <c r="J42"/>
    </row>
    <row r="43" spans="2:10">
      <c r="G43"/>
      <c r="H43"/>
      <c r="I43"/>
      <c r="J43"/>
    </row>
    <row r="44" spans="2:10">
      <c r="G44"/>
      <c r="H44"/>
      <c r="I44"/>
      <c r="J44"/>
    </row>
    <row r="45" spans="2:10">
      <c r="G45"/>
      <c r="H45"/>
      <c r="I45"/>
      <c r="J45"/>
    </row>
    <row r="46" spans="2:10">
      <c r="G46"/>
      <c r="H46"/>
      <c r="I46"/>
      <c r="J46"/>
    </row>
    <row r="47" spans="2:10">
      <c r="G47"/>
      <c r="H47"/>
      <c r="I47"/>
      <c r="J47"/>
    </row>
  </sheetData>
  <printOptions horizontalCentered="1"/>
  <pageMargins left="0.25" right="0.25" top="0.75" bottom="0.75" header="0.3" footer="0.3"/>
  <pageSetup scale="58" fitToHeight="0" orientation="landscape" r:id="rId1"/>
  <headerFooter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A78FF-9F07-A54E-9D36-6DFF6DD107D0}">
  <dimension ref="B1:L38"/>
  <sheetViews>
    <sheetView topLeftCell="A16" workbookViewId="0">
      <selection activeCell="E30" sqref="E30"/>
    </sheetView>
  </sheetViews>
  <sheetFormatPr baseColWidth="10" defaultColWidth="8.83203125" defaultRowHeight="16"/>
  <cols>
    <col min="1" max="1" width="2" style="5" customWidth="1"/>
    <col min="2" max="2" width="48.1640625" style="5" customWidth="1"/>
    <col min="3" max="3" width="17.83203125" style="15" customWidth="1"/>
    <col min="4" max="4" width="15.5" style="5" customWidth="1"/>
    <col min="5" max="5" width="11.1640625" style="5" customWidth="1"/>
    <col min="6" max="6" width="13.1640625" style="5" customWidth="1"/>
    <col min="7" max="7" width="13.83203125" style="5" customWidth="1"/>
    <col min="8" max="8" width="20.83203125" style="5" customWidth="1"/>
    <col min="9" max="9" width="16.6640625" style="5" customWidth="1"/>
    <col min="10" max="16384" width="8.83203125" style="5"/>
  </cols>
  <sheetData>
    <row r="1" spans="2:12" ht="34">
      <c r="B1" s="6" t="s">
        <v>95</v>
      </c>
      <c r="C1" s="15" t="s">
        <v>21</v>
      </c>
      <c r="D1" s="5" t="s">
        <v>22</v>
      </c>
      <c r="E1" s="5" t="s">
        <v>23</v>
      </c>
      <c r="F1" s="5" t="s">
        <v>24</v>
      </c>
      <c r="G1" s="5" t="s">
        <v>25</v>
      </c>
      <c r="H1" s="5" t="s">
        <v>26</v>
      </c>
      <c r="I1" s="5" t="s">
        <v>27</v>
      </c>
      <c r="J1" s="5" t="s">
        <v>149</v>
      </c>
    </row>
    <row r="2" spans="2:12" ht="17">
      <c r="B2" s="7"/>
      <c r="C2" s="16" t="s">
        <v>76</v>
      </c>
      <c r="D2" s="9" t="s">
        <v>12</v>
      </c>
      <c r="E2" s="9"/>
      <c r="F2" s="9"/>
      <c r="G2" s="9" t="s">
        <v>15</v>
      </c>
      <c r="H2" s="9" t="s">
        <v>16</v>
      </c>
      <c r="I2" s="9" t="s">
        <v>56</v>
      </c>
    </row>
    <row r="3" spans="2:12" ht="17">
      <c r="B3" s="10" t="s">
        <v>20</v>
      </c>
      <c r="C3" s="15" t="s">
        <v>12</v>
      </c>
      <c r="D3" s="5" t="s">
        <v>65</v>
      </c>
      <c r="E3" s="5" t="s">
        <v>66</v>
      </c>
      <c r="F3" s="5" t="s">
        <v>77</v>
      </c>
    </row>
    <row r="4" spans="2:12">
      <c r="B4" s="10"/>
    </row>
    <row r="5" spans="2:12" ht="34">
      <c r="B5" s="13" t="s">
        <v>108</v>
      </c>
    </row>
    <row r="6" spans="2:12" ht="17">
      <c r="B6" s="25" t="s">
        <v>109</v>
      </c>
      <c r="C6" s="30">
        <f>Table15[[#This Row],[Column5]]</f>
        <v>4000</v>
      </c>
      <c r="D6" s="24">
        <v>2500</v>
      </c>
      <c r="E6" s="5">
        <v>4</v>
      </c>
      <c r="F6" s="24">
        <f>Table15[[#This Row],[Column3]]*Table15[[#This Row],[Column2]]</f>
        <v>10000</v>
      </c>
      <c r="G6" s="24">
        <v>4000</v>
      </c>
      <c r="H6" s="5">
        <f>Table15[[#This Row],[Column4]]-Table15[[#This Row],[Column5]]</f>
        <v>6000</v>
      </c>
      <c r="I6" s="5" t="s">
        <v>176</v>
      </c>
    </row>
    <row r="7" spans="2:12" s="10" customFormat="1" ht="17">
      <c r="B7" s="3" t="s">
        <v>110</v>
      </c>
      <c r="C7" s="17">
        <f>C6</f>
        <v>4000</v>
      </c>
      <c r="D7" s="28"/>
      <c r="F7" s="28"/>
      <c r="G7" s="28"/>
      <c r="J7" s="5"/>
    </row>
    <row r="8" spans="2:12" s="10" customFormat="1">
      <c r="B8" s="13"/>
      <c r="C8" s="17"/>
      <c r="D8" s="24"/>
      <c r="E8" s="5"/>
      <c r="F8" s="24"/>
      <c r="G8" s="24"/>
      <c r="J8" s="5"/>
    </row>
    <row r="9" spans="2:12" s="10" customFormat="1" ht="51">
      <c r="B9" s="13" t="s">
        <v>204</v>
      </c>
      <c r="C9" s="17"/>
      <c r="D9" s="24"/>
      <c r="E9" s="5"/>
      <c r="F9" s="24"/>
      <c r="G9" s="24"/>
      <c r="J9" s="5"/>
    </row>
    <row r="10" spans="2:12" ht="51">
      <c r="B10" s="1" t="s">
        <v>96</v>
      </c>
      <c r="C10" s="15">
        <f>Table15[[#This Row],[Column5]]</f>
        <v>7500</v>
      </c>
      <c r="D10" s="24">
        <v>16000</v>
      </c>
      <c r="E10" s="5">
        <v>1</v>
      </c>
      <c r="F10" s="24">
        <f>Table15[[#This Row],[Column3]]*Table15[[#This Row],[Column2]]</f>
        <v>16000</v>
      </c>
      <c r="G10" s="24">
        <v>7500</v>
      </c>
      <c r="H10" s="24">
        <f>Table15[[#This Row],[Column4]]-Table15[[#This Row],[Column5]]</f>
        <v>8500</v>
      </c>
      <c r="I10" s="5" t="s">
        <v>100</v>
      </c>
      <c r="J10" s="5" t="s">
        <v>156</v>
      </c>
    </row>
    <row r="11" spans="2:12" ht="51">
      <c r="B11" s="1" t="s">
        <v>143</v>
      </c>
      <c r="C11" s="15">
        <f>Table15[[#This Row],[Column5]]</f>
        <v>7500</v>
      </c>
      <c r="D11" s="24">
        <v>11000</v>
      </c>
      <c r="E11" s="5">
        <v>6</v>
      </c>
      <c r="F11" s="24">
        <f>Table15[[#This Row],[Column3]]*Table15[[#This Row],[Column2]]</f>
        <v>66000</v>
      </c>
      <c r="G11" s="24">
        <v>7500</v>
      </c>
      <c r="H11" s="24">
        <f>Table15[[#This Row],[Column4]]-Table15[[#This Row],[Column5]]</f>
        <v>58500</v>
      </c>
      <c r="I11" s="5" t="s">
        <v>99</v>
      </c>
      <c r="K11" s="5" t="s">
        <v>157</v>
      </c>
    </row>
    <row r="12" spans="2:12" ht="34">
      <c r="B12" s="1" t="s">
        <v>163</v>
      </c>
      <c r="C12" s="15">
        <f>Table15[[#This Row],[Column5]]</f>
        <v>7500</v>
      </c>
      <c r="D12" s="24">
        <v>11000</v>
      </c>
      <c r="E12" s="5">
        <v>6</v>
      </c>
      <c r="F12" s="24">
        <f>Table15[[#This Row],[Column3]]*Table15[[#This Row],[Column2]]</f>
        <v>66000</v>
      </c>
      <c r="G12" s="24">
        <v>7500</v>
      </c>
      <c r="H12" s="24">
        <f>Table15[[#This Row],[Column4]]-Table15[[#This Row],[Column5]]</f>
        <v>58500</v>
      </c>
      <c r="I12" s="5" t="s">
        <v>99</v>
      </c>
    </row>
    <row r="13" spans="2:12" ht="68">
      <c r="B13" s="1" t="s">
        <v>177</v>
      </c>
      <c r="C13" s="15">
        <f>Table15[[#This Row],[Column5]]</f>
        <v>15000</v>
      </c>
      <c r="D13" s="24">
        <v>35000</v>
      </c>
      <c r="E13" s="5">
        <v>1</v>
      </c>
      <c r="F13" s="24">
        <f>Table15[[#This Row],[Column3]]*Table15[[#This Row],[Column2]]</f>
        <v>35000</v>
      </c>
      <c r="G13" s="24">
        <v>15000</v>
      </c>
      <c r="H13" s="24">
        <f>Table15[[#This Row],[Column4]]-Table15[[#This Row],[Column5]]</f>
        <v>20000</v>
      </c>
      <c r="I13" s="5" t="s">
        <v>205</v>
      </c>
      <c r="K13" s="5" t="s">
        <v>160</v>
      </c>
      <c r="L13" s="5" t="s">
        <v>161</v>
      </c>
    </row>
    <row r="14" spans="2:12" ht="34">
      <c r="B14" s="1" t="s">
        <v>162</v>
      </c>
      <c r="C14" s="15" t="s">
        <v>12</v>
      </c>
      <c r="D14" s="24">
        <v>174635</v>
      </c>
      <c r="E14" s="60">
        <v>1</v>
      </c>
      <c r="F14" s="24">
        <f>Table15[[#This Row],[Column3]]*Table15[[#This Row],[Column2]]</f>
        <v>174635</v>
      </c>
      <c r="G14" s="11">
        <f>0</f>
        <v>0</v>
      </c>
      <c r="H14" s="24">
        <f>Table15[[#This Row],[Column4]]-Table15[[#This Row],[Column5]]</f>
        <v>174635</v>
      </c>
      <c r="I14" s="5" t="s">
        <v>206</v>
      </c>
      <c r="J14" s="5" t="s">
        <v>185</v>
      </c>
    </row>
    <row r="15" spans="2:12" ht="68">
      <c r="B15" s="1" t="s">
        <v>97</v>
      </c>
      <c r="C15" s="55">
        <f>Table15[[#This Row],[Column5]]</f>
        <v>0</v>
      </c>
      <c r="D15" s="24">
        <v>0</v>
      </c>
      <c r="E15" s="5">
        <v>0</v>
      </c>
      <c r="F15" s="24">
        <f>Table15[[#This Row],[Column3]]*Table15[[#This Row],[Column2]]</f>
        <v>0</v>
      </c>
      <c r="G15" s="24">
        <v>0</v>
      </c>
      <c r="H15" s="24">
        <f>Table15[[#This Row],[Column4]]-Table15[[#This Row],[Column5]]</f>
        <v>0</v>
      </c>
      <c r="I15" s="5" t="s">
        <v>101</v>
      </c>
      <c r="J15" s="5" t="s">
        <v>153</v>
      </c>
      <c r="K15" s="5" t="s">
        <v>159</v>
      </c>
    </row>
    <row r="16" spans="2:12" ht="85">
      <c r="B16" s="1" t="s">
        <v>146</v>
      </c>
      <c r="C16" s="15">
        <f>Table15[[#This Row],[Column5]]</f>
        <v>0</v>
      </c>
      <c r="D16" s="24">
        <v>0</v>
      </c>
      <c r="E16" s="5">
        <v>0</v>
      </c>
      <c r="F16" s="24">
        <f>Table15[[#This Row],[Column3]]*Table15[[#This Row],[Column2]]</f>
        <v>0</v>
      </c>
      <c r="G16" s="11"/>
      <c r="H16" s="24">
        <f>Table15[[#This Row],[Column4]]-Table15[[#This Row],[Column5]]</f>
        <v>0</v>
      </c>
      <c r="I16" s="5" t="s">
        <v>144</v>
      </c>
    </row>
    <row r="17" spans="2:10" ht="51">
      <c r="B17" s="1" t="s">
        <v>158</v>
      </c>
      <c r="C17" s="15">
        <f>Table15[[#This Row],[Column5]]</f>
        <v>0</v>
      </c>
      <c r="D17" s="24">
        <v>0</v>
      </c>
      <c r="E17" s="5">
        <v>0</v>
      </c>
      <c r="F17" s="24">
        <f>Table15[[#This Row],[Column3]]*Table15[[#This Row],[Column2]]</f>
        <v>0</v>
      </c>
      <c r="G17" s="24">
        <v>0</v>
      </c>
      <c r="H17" s="24">
        <f>Table15[[#This Row],[Column4]]-Table15[[#This Row],[Column5]]</f>
        <v>0</v>
      </c>
      <c r="I17" s="5" t="s">
        <v>145</v>
      </c>
    </row>
    <row r="18" spans="2:10" ht="51">
      <c r="B18" s="1" t="s">
        <v>98</v>
      </c>
      <c r="C18" s="15">
        <f>Table15[[#This Row],[Column5]]</f>
        <v>0</v>
      </c>
      <c r="D18" s="24">
        <v>0</v>
      </c>
      <c r="E18" s="5">
        <v>0</v>
      </c>
      <c r="F18" s="24">
        <f>Table15[[#This Row],[Column3]]*Table15[[#This Row],[Column2]]</f>
        <v>0</v>
      </c>
      <c r="G18" s="24">
        <v>0</v>
      </c>
      <c r="H18" s="24">
        <f>Table15[[#This Row],[Column4]]-Table15[[#This Row],[Column5]]</f>
        <v>0</v>
      </c>
      <c r="I18" s="5" t="s">
        <v>102</v>
      </c>
    </row>
    <row r="19" spans="2:10" ht="34">
      <c r="B19" s="1" t="s">
        <v>103</v>
      </c>
      <c r="C19" s="15">
        <f>Table15[[#This Row],[Column5]]</f>
        <v>4210</v>
      </c>
      <c r="D19" s="24">
        <f>1710+2500</f>
        <v>4210</v>
      </c>
      <c r="E19" s="5">
        <v>1</v>
      </c>
      <c r="F19" s="24">
        <f>Table15[[#This Row],[Column3]]*Table15[[#This Row],[Column2]]</f>
        <v>4210</v>
      </c>
      <c r="G19" s="24">
        <f>Table15[[#This Row],[Column4]]</f>
        <v>4210</v>
      </c>
      <c r="H19" s="24">
        <f>Table15[[#This Row],[Column4]]-Table15[[#This Row],[Column5]]</f>
        <v>0</v>
      </c>
    </row>
    <row r="20" spans="2:10" ht="17">
      <c r="B20" s="1" t="s">
        <v>104</v>
      </c>
      <c r="C20" s="55">
        <f>Table15[[#This Row],[Column5]]</f>
        <v>0</v>
      </c>
      <c r="D20" s="24">
        <v>0</v>
      </c>
      <c r="E20" s="5">
        <v>0</v>
      </c>
      <c r="F20" s="24">
        <f>Table15[[#This Row],[Column3]]*Table15[[#This Row],[Column2]]</f>
        <v>0</v>
      </c>
      <c r="G20" s="24">
        <v>0</v>
      </c>
      <c r="H20" s="24">
        <f>Table15[[#This Row],[Column4]]-Table15[[#This Row],[Column5]]</f>
        <v>0</v>
      </c>
    </row>
    <row r="21" spans="2:10" ht="17">
      <c r="B21" s="1" t="s">
        <v>105</v>
      </c>
      <c r="C21" s="15">
        <f>Table15[[#This Row],[Column5]]</f>
        <v>0</v>
      </c>
      <c r="D21" s="24">
        <v>0</v>
      </c>
      <c r="E21" s="5">
        <v>0</v>
      </c>
      <c r="F21" s="24">
        <f>Table15[[#This Row],[Column3]]*Table15[[#This Row],[Column2]]</f>
        <v>0</v>
      </c>
      <c r="G21" s="24">
        <f>Table15[[#This Row],[Column4]]</f>
        <v>0</v>
      </c>
      <c r="H21" s="24">
        <f>Table15[[#This Row],[Column4]]-Table15[[#This Row],[Column5]]</f>
        <v>0</v>
      </c>
    </row>
    <row r="22" spans="2:10" ht="51">
      <c r="B22" s="1" t="s">
        <v>175</v>
      </c>
      <c r="C22" s="15">
        <f>Table15[[#This Row],[Column5]]</f>
        <v>0</v>
      </c>
      <c r="D22" s="24">
        <v>0</v>
      </c>
      <c r="E22" s="60">
        <v>0</v>
      </c>
      <c r="F22" s="24">
        <f>Table15[[#This Row],[Column3]]*Table15[[#This Row],[Column2]]</f>
        <v>0</v>
      </c>
      <c r="G22" s="11">
        <v>0</v>
      </c>
      <c r="H22" s="24">
        <f>Table15[[#This Row],[Column4]]-Table15[[#This Row],[Column5]]</f>
        <v>0</v>
      </c>
      <c r="I22" s="5" t="s">
        <v>207</v>
      </c>
    </row>
    <row r="23" spans="2:10" ht="17">
      <c r="B23" s="1" t="s">
        <v>167</v>
      </c>
      <c r="C23" s="15">
        <f>Table15[[#This Row],[Column5]]</f>
        <v>0</v>
      </c>
      <c r="D23" s="24">
        <v>0</v>
      </c>
      <c r="E23" s="60">
        <v>0</v>
      </c>
      <c r="F23" s="24">
        <f>Table15[[#This Row],[Column3]]*Table15[[#This Row],[Column2]]</f>
        <v>0</v>
      </c>
      <c r="G23" s="11">
        <v>0</v>
      </c>
      <c r="H23" s="24">
        <f>Table15[[#This Row],[Column4]]-Table15[[#This Row],[Column5]]</f>
        <v>0</v>
      </c>
    </row>
    <row r="24" spans="2:10" s="10" customFormat="1" ht="17">
      <c r="B24" s="3" t="s">
        <v>30</v>
      </c>
      <c r="C24" s="16">
        <f>SUM(C10:C23)</f>
        <v>41710</v>
      </c>
      <c r="D24" s="28"/>
      <c r="F24" s="28"/>
      <c r="G24" s="28">
        <f>SUM(G9:G23)</f>
        <v>41710</v>
      </c>
      <c r="H24" s="28"/>
      <c r="J24" s="5"/>
    </row>
    <row r="25" spans="2:10" ht="17">
      <c r="C25" s="18" t="s">
        <v>12</v>
      </c>
      <c r="D25" s="24"/>
      <c r="F25" s="24"/>
      <c r="G25" s="24"/>
      <c r="H25" s="24"/>
    </row>
    <row r="27" spans="2:10" s="10" customFormat="1" ht="17">
      <c r="B27" s="13" t="s">
        <v>106</v>
      </c>
      <c r="C27" s="19"/>
      <c r="J27" s="5"/>
    </row>
    <row r="28" spans="2:10" ht="17">
      <c r="B28" s="10" t="s">
        <v>9</v>
      </c>
      <c r="C28" s="16">
        <f>C24</f>
        <v>41710</v>
      </c>
    </row>
    <row r="29" spans="2:10" ht="17">
      <c r="B29" s="10" t="s">
        <v>94</v>
      </c>
      <c r="C29" s="16">
        <f>C7</f>
        <v>4000</v>
      </c>
      <c r="D29" s="1" t="s">
        <v>13</v>
      </c>
    </row>
    <row r="30" spans="2:10" ht="17">
      <c r="B30" s="14" t="s">
        <v>107</v>
      </c>
      <c r="C30" s="19">
        <f>SUM(C28:C29)</f>
        <v>45710</v>
      </c>
      <c r="D30" s="39">
        <f>C24+C7</f>
        <v>45710</v>
      </c>
    </row>
    <row r="31" spans="2:10">
      <c r="B31" s="14"/>
      <c r="D31" s="12"/>
    </row>
    <row r="32" spans="2:10" ht="17">
      <c r="B32" s="10" t="s">
        <v>32</v>
      </c>
      <c r="C32" s="15">
        <v>165000</v>
      </c>
    </row>
    <row r="33" spans="2:3" ht="17">
      <c r="B33" s="10" t="s">
        <v>31</v>
      </c>
      <c r="C33" s="20">
        <f>C30/C32</f>
        <v>0.27703030303030302</v>
      </c>
    </row>
    <row r="38" spans="2:3" ht="17">
      <c r="B38" s="5" t="s">
        <v>12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467C137A7CDE448CB0A43503782328" ma:contentTypeVersion="0" ma:contentTypeDescription="Create a new document." ma:contentTypeScope="" ma:versionID="de552b6ceab69ff67b686e55c33bb3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a2704e1be08ca60c210816e8ff5151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355ED5-586E-4056-A608-186212A9F1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F51D17-4309-4E1C-99FA-3375289BD1D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56B3846-7BFA-4C2A-90A7-843ECE58F6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Budget Overview</vt:lpstr>
      <vt:lpstr>Admin</vt:lpstr>
      <vt:lpstr>Education Budget</vt:lpstr>
      <vt:lpstr>Open Space Budget</vt:lpstr>
      <vt:lpstr>Streamwatch Budget</vt:lpstr>
      <vt:lpstr>Watershed Improvement Projects</vt:lpstr>
      <vt:lpstr>'Streamwatch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Shane Morgan</dc:creator>
  <cp:lastModifiedBy>Shane Morgan</cp:lastModifiedBy>
  <dcterms:created xsi:type="dcterms:W3CDTF">2015-01-14T23:50:52Z</dcterms:created>
  <dcterms:modified xsi:type="dcterms:W3CDTF">2021-03-05T15:04:15Z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0x0101009C467C137A7CDE448CB0A43503782328</vt:lpwstr>
  </property>
  <property fmtid="{D5CDD505-2E9C-101B-9397-08002B2CF9AE}" pid="3" name="AssetID">
    <vt:lpwstr>TF10000048</vt:lpwstr>
  </property>
</Properties>
</file>